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ales\PRODUCT MARKETING\Data Sheets - Product Editor current\WIP\BC Accessories\"/>
    </mc:Choice>
  </mc:AlternateContent>
  <xr:revisionPtr revIDLastSave="0" documentId="8_{E67FFB17-1773-4920-B827-59D5652F9350}" xr6:coauthVersionLast="47" xr6:coauthVersionMax="47" xr10:uidLastSave="{00000000-0000-0000-0000-000000000000}"/>
  <bookViews>
    <workbookView xWindow="31785" yWindow="3030" windowWidth="23550" windowHeight="7725" tabRatio="814" xr2:uid="{E8D5FBEB-B31A-48F2-A92D-DFBF66E35BE0}"/>
  </bookViews>
  <sheets>
    <sheet name="BD Dehydrator Sizing-Imperial" sheetId="1" r:id="rId1"/>
    <sheet name="BD Dehydrator Sizing-Metric " sheetId="7" r:id="rId2"/>
    <sheet name="RFS Sizing- Imp_3.24.22" sheetId="6" state="hidden" r:id="rId3"/>
    <sheet name="RFS Sizing-Metric_3.24.22" sheetId="4" state="hidden" r:id="rId4"/>
    <sheet name="Dehydrator Cross Reference" sheetId="8" state="hidden" r:id="rId5"/>
    <sheet name="Reference_Todd" sheetId="2" state="hidden" r:id="rId6"/>
    <sheet name="Revision Log" sheetId="5" state="hidden" r:id="rId7"/>
    <sheet name="Reference2" sheetId="3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7" l="1"/>
  <c r="O43" i="1"/>
  <c r="O33" i="1"/>
  <c r="O35" i="1"/>
  <c r="O40" i="1"/>
  <c r="O41" i="1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31" i="7"/>
  <c r="E32" i="7"/>
  <c r="F32" i="7"/>
  <c r="G32" i="7"/>
  <c r="H32" i="7"/>
  <c r="I32" i="7"/>
  <c r="E33" i="7"/>
  <c r="F33" i="7"/>
  <c r="G33" i="7"/>
  <c r="H33" i="7"/>
  <c r="I33" i="7"/>
  <c r="E34" i="7"/>
  <c r="F34" i="7"/>
  <c r="G34" i="7"/>
  <c r="H34" i="7"/>
  <c r="I34" i="7"/>
  <c r="E35" i="7"/>
  <c r="F35" i="7"/>
  <c r="G35" i="7"/>
  <c r="H35" i="7"/>
  <c r="I35" i="7"/>
  <c r="E36" i="7"/>
  <c r="F36" i="7"/>
  <c r="G36" i="7"/>
  <c r="H36" i="7"/>
  <c r="I36" i="7"/>
  <c r="E38" i="7"/>
  <c r="F38" i="7"/>
  <c r="G38" i="7"/>
  <c r="H38" i="7"/>
  <c r="I38" i="7"/>
  <c r="E39" i="7"/>
  <c r="F39" i="7"/>
  <c r="G39" i="7"/>
  <c r="H39" i="7"/>
  <c r="I39" i="7"/>
  <c r="E40" i="7"/>
  <c r="F40" i="7"/>
  <c r="G40" i="7"/>
  <c r="H40" i="7"/>
  <c r="I40" i="7"/>
  <c r="E41" i="7"/>
  <c r="F41" i="7"/>
  <c r="G41" i="7"/>
  <c r="H41" i="7"/>
  <c r="I41" i="7"/>
  <c r="E42" i="7"/>
  <c r="F42" i="7"/>
  <c r="G42" i="7"/>
  <c r="H42" i="7"/>
  <c r="I42" i="7"/>
  <c r="E43" i="7"/>
  <c r="F43" i="7"/>
  <c r="G43" i="7"/>
  <c r="H43" i="7"/>
  <c r="I43" i="7"/>
  <c r="E44" i="7"/>
  <c r="F44" i="7"/>
  <c r="G44" i="7"/>
  <c r="H44" i="7"/>
  <c r="I44" i="7"/>
  <c r="E45" i="7"/>
  <c r="F45" i="7"/>
  <c r="G45" i="7"/>
  <c r="H45" i="7"/>
  <c r="I45" i="7"/>
  <c r="E46" i="7"/>
  <c r="F46" i="7"/>
  <c r="G46" i="7"/>
  <c r="H46" i="7"/>
  <c r="I46" i="7"/>
  <c r="E47" i="7"/>
  <c r="F47" i="7"/>
  <c r="G47" i="7"/>
  <c r="H47" i="7"/>
  <c r="I47" i="7"/>
  <c r="D33" i="7"/>
  <c r="D34" i="7"/>
  <c r="D35" i="7"/>
  <c r="D36" i="7"/>
  <c r="D37" i="7"/>
  <c r="E37" i="7" s="1"/>
  <c r="D38" i="7"/>
  <c r="O38" i="7" s="1"/>
  <c r="D39" i="7"/>
  <c r="D40" i="7"/>
  <c r="O40" i="7" s="1"/>
  <c r="D41" i="7"/>
  <c r="D42" i="7"/>
  <c r="D43" i="7"/>
  <c r="D44" i="7"/>
  <c r="D45" i="7"/>
  <c r="O45" i="7" s="1"/>
  <c r="D46" i="7"/>
  <c r="O46" i="7" s="1"/>
  <c r="D47" i="7"/>
  <c r="D32" i="7"/>
  <c r="O32" i="7" s="1"/>
  <c r="D31" i="7"/>
  <c r="O31" i="7" s="1"/>
  <c r="E31" i="7"/>
  <c r="F31" i="7"/>
  <c r="G31" i="7"/>
  <c r="H31" i="7"/>
  <c r="I31" i="7"/>
  <c r="O47" i="7"/>
  <c r="O44" i="7"/>
  <c r="O43" i="7"/>
  <c r="O42" i="7"/>
  <c r="O41" i="7"/>
  <c r="O39" i="7"/>
  <c r="O37" i="7"/>
  <c r="O36" i="7"/>
  <c r="O35" i="7"/>
  <c r="O34" i="7"/>
  <c r="O33" i="7"/>
  <c r="Q29" i="1"/>
  <c r="C29" i="1" s="1"/>
  <c r="O31" i="1"/>
  <c r="O32" i="1"/>
  <c r="O34" i="1"/>
  <c r="O36" i="1"/>
  <c r="O37" i="1"/>
  <c r="O38" i="1"/>
  <c r="O39" i="1"/>
  <c r="O42" i="1"/>
  <c r="O44" i="1"/>
  <c r="O45" i="1"/>
  <c r="O46" i="1"/>
  <c r="O30" i="1"/>
  <c r="D30" i="7"/>
  <c r="O30" i="7" s="1"/>
  <c r="Q30" i="7"/>
  <c r="R30" i="7" s="1"/>
  <c r="C30" i="7" s="1"/>
  <c r="S29" i="7"/>
  <c r="D29" i="7" s="1"/>
  <c r="O29" i="7" s="1"/>
  <c r="Q29" i="7"/>
  <c r="R29" i="7" s="1"/>
  <c r="C29" i="7" s="1"/>
  <c r="S28" i="7"/>
  <c r="D28" i="7" s="1"/>
  <c r="O28" i="7" s="1"/>
  <c r="Q28" i="7"/>
  <c r="R28" i="7" s="1"/>
  <c r="C28" i="7" s="1"/>
  <c r="S27" i="7"/>
  <c r="D27" i="7" s="1"/>
  <c r="O27" i="7" s="1"/>
  <c r="Q27" i="7"/>
  <c r="R27" i="7" s="1"/>
  <c r="C27" i="7" s="1"/>
  <c r="S26" i="7"/>
  <c r="D26" i="7" s="1"/>
  <c r="O26" i="7" s="1"/>
  <c r="Q26" i="7"/>
  <c r="R26" i="7" s="1"/>
  <c r="C26" i="7" s="1"/>
  <c r="S25" i="7"/>
  <c r="D25" i="7" s="1"/>
  <c r="O25" i="7" s="1"/>
  <c r="Q25" i="7"/>
  <c r="R25" i="7" s="1"/>
  <c r="C25" i="7" s="1"/>
  <c r="S24" i="7"/>
  <c r="D24" i="7" s="1"/>
  <c r="O24" i="7" s="1"/>
  <c r="Q24" i="7"/>
  <c r="R24" i="7" s="1"/>
  <c r="C24" i="7" s="1"/>
  <c r="S23" i="7"/>
  <c r="D23" i="7" s="1"/>
  <c r="O23" i="7" s="1"/>
  <c r="Q23" i="7"/>
  <c r="R23" i="7" s="1"/>
  <c r="C23" i="7" s="1"/>
  <c r="S22" i="7"/>
  <c r="D22" i="7" s="1"/>
  <c r="O22" i="7" s="1"/>
  <c r="Q22" i="7"/>
  <c r="R22" i="7" s="1"/>
  <c r="C22" i="7" s="1"/>
  <c r="S21" i="7"/>
  <c r="D21" i="7" s="1"/>
  <c r="O21" i="7" s="1"/>
  <c r="Q21" i="7"/>
  <c r="R21" i="7" s="1"/>
  <c r="C21" i="7" s="1"/>
  <c r="S20" i="7"/>
  <c r="D20" i="7" s="1"/>
  <c r="O20" i="7" s="1"/>
  <c r="Q20" i="7"/>
  <c r="R20" i="7" s="1"/>
  <c r="C20" i="7" s="1"/>
  <c r="S19" i="7"/>
  <c r="D19" i="7" s="1"/>
  <c r="O19" i="7" s="1"/>
  <c r="Q19" i="7"/>
  <c r="R19" i="7" s="1"/>
  <c r="C19" i="7" s="1"/>
  <c r="S18" i="7"/>
  <c r="D18" i="7" s="1"/>
  <c r="O18" i="7" s="1"/>
  <c r="Q18" i="7"/>
  <c r="R18" i="7" s="1"/>
  <c r="C18" i="7" s="1"/>
  <c r="S17" i="7"/>
  <c r="D17" i="7" s="1"/>
  <c r="O17" i="7" s="1"/>
  <c r="Q17" i="7"/>
  <c r="R17" i="7" s="1"/>
  <c r="C17" i="7" s="1"/>
  <c r="S16" i="7"/>
  <c r="D16" i="7" s="1"/>
  <c r="O16" i="7" s="1"/>
  <c r="Q16" i="7"/>
  <c r="R16" i="7" s="1"/>
  <c r="C16" i="7" s="1"/>
  <c r="S15" i="7"/>
  <c r="D15" i="7" s="1"/>
  <c r="O15" i="7" s="1"/>
  <c r="Q15" i="7"/>
  <c r="R15" i="7" s="1"/>
  <c r="C15" i="7" s="1"/>
  <c r="S14" i="7"/>
  <c r="D14" i="7" s="1"/>
  <c r="O14" i="7" s="1"/>
  <c r="Q14" i="7"/>
  <c r="R14" i="7" s="1"/>
  <c r="C14" i="7" s="1"/>
  <c r="S13" i="7"/>
  <c r="D13" i="7" s="1"/>
  <c r="O13" i="7" s="1"/>
  <c r="Q13" i="7"/>
  <c r="R13" i="7" s="1"/>
  <c r="C13" i="7" s="1"/>
  <c r="S12" i="7"/>
  <c r="D12" i="7" s="1"/>
  <c r="O12" i="7" s="1"/>
  <c r="Q12" i="7"/>
  <c r="R12" i="7" s="1"/>
  <c r="C12" i="7" s="1"/>
  <c r="S11" i="7"/>
  <c r="D11" i="7" s="1"/>
  <c r="O11" i="7" s="1"/>
  <c r="Q11" i="7"/>
  <c r="R11" i="7" s="1"/>
  <c r="C11" i="7" s="1"/>
  <c r="S10" i="7"/>
  <c r="D10" i="7" s="1"/>
  <c r="O10" i="7" s="1"/>
  <c r="Q10" i="7"/>
  <c r="R10" i="7" s="1"/>
  <c r="C10" i="7" s="1"/>
  <c r="I3" i="7"/>
  <c r="I5" i="7" s="1"/>
  <c r="I6" i="7" s="1"/>
  <c r="I7" i="7" s="1"/>
  <c r="H3" i="7"/>
  <c r="H5" i="7" s="1"/>
  <c r="H6" i="7" s="1"/>
  <c r="H7" i="7" s="1"/>
  <c r="G3" i="7"/>
  <c r="G5" i="7" s="1"/>
  <c r="G6" i="7" s="1"/>
  <c r="G7" i="7" s="1"/>
  <c r="F3" i="7"/>
  <c r="F5" i="7" s="1"/>
  <c r="F8" i="7" s="1"/>
  <c r="E3" i="7"/>
  <c r="E5" i="7" s="1"/>
  <c r="E6" i="7" s="1"/>
  <c r="E7" i="7" s="1"/>
  <c r="F8" i="4"/>
  <c r="G8" i="4"/>
  <c r="H8" i="4"/>
  <c r="I8" i="4"/>
  <c r="E8" i="4"/>
  <c r="Q30" i="6"/>
  <c r="C30" i="6"/>
  <c r="D30" i="6" s="1"/>
  <c r="Q29" i="6"/>
  <c r="O29" i="6"/>
  <c r="C29" i="6"/>
  <c r="D29" i="6" s="1"/>
  <c r="Q28" i="6"/>
  <c r="C28" i="6" s="1"/>
  <c r="Q27" i="6"/>
  <c r="O27" i="6"/>
  <c r="D27" i="6"/>
  <c r="C27" i="6"/>
  <c r="Q26" i="6"/>
  <c r="C26" i="6" s="1"/>
  <c r="Q25" i="6"/>
  <c r="D25" i="6"/>
  <c r="C25" i="6"/>
  <c r="O25" i="6" s="1"/>
  <c r="Q24" i="6"/>
  <c r="G24" i="6"/>
  <c r="F24" i="6"/>
  <c r="D24" i="6"/>
  <c r="C24" i="6"/>
  <c r="O24" i="6" s="1"/>
  <c r="Q23" i="6"/>
  <c r="O23" i="6"/>
  <c r="G23" i="6"/>
  <c r="D23" i="6"/>
  <c r="C23" i="6"/>
  <c r="Q22" i="6"/>
  <c r="C22" i="6"/>
  <c r="D22" i="6" s="1"/>
  <c r="Q21" i="6"/>
  <c r="O21" i="6"/>
  <c r="D21" i="6"/>
  <c r="C21" i="6"/>
  <c r="Q20" i="6"/>
  <c r="C20" i="6" s="1"/>
  <c r="Q19" i="6"/>
  <c r="O19" i="6"/>
  <c r="D19" i="6"/>
  <c r="C19" i="6"/>
  <c r="Q18" i="6"/>
  <c r="C18" i="6" s="1"/>
  <c r="Q17" i="6"/>
  <c r="D17" i="6"/>
  <c r="C17" i="6"/>
  <c r="O17" i="6" s="1"/>
  <c r="Q16" i="6"/>
  <c r="D16" i="6"/>
  <c r="C16" i="6"/>
  <c r="O16" i="6" s="1"/>
  <c r="Q15" i="6"/>
  <c r="O15" i="6"/>
  <c r="O31" i="6" s="1"/>
  <c r="D15" i="6"/>
  <c r="C15" i="6"/>
  <c r="Q14" i="6"/>
  <c r="C14" i="6"/>
  <c r="D14" i="6" s="1"/>
  <c r="Q13" i="6"/>
  <c r="O13" i="6"/>
  <c r="D13" i="6"/>
  <c r="C13" i="6"/>
  <c r="Q12" i="6"/>
  <c r="C12" i="6"/>
  <c r="D12" i="6" s="1"/>
  <c r="Q11" i="6"/>
  <c r="O11" i="6"/>
  <c r="D11" i="6"/>
  <c r="C11" i="6"/>
  <c r="Q10" i="6"/>
  <c r="C10" i="6" s="1"/>
  <c r="Q9" i="6"/>
  <c r="D9" i="6"/>
  <c r="C9" i="6"/>
  <c r="O9" i="6" s="1"/>
  <c r="Q8" i="6"/>
  <c r="D8" i="6"/>
  <c r="C8" i="6"/>
  <c r="O8" i="6" s="1"/>
  <c r="I5" i="6"/>
  <c r="I27" i="6" s="1"/>
  <c r="H5" i="6"/>
  <c r="H15" i="6" s="1"/>
  <c r="G5" i="6"/>
  <c r="G8" i="6" s="1"/>
  <c r="F5" i="6"/>
  <c r="F30" i="6" s="1"/>
  <c r="E5" i="6"/>
  <c r="E23" i="6" s="1"/>
  <c r="I3" i="6"/>
  <c r="H3" i="6"/>
  <c r="G3" i="6"/>
  <c r="F3" i="6"/>
  <c r="E3" i="6"/>
  <c r="I37" i="7" l="1"/>
  <c r="H37" i="7"/>
  <c r="G37" i="7"/>
  <c r="F37" i="7"/>
  <c r="I30" i="7"/>
  <c r="H29" i="7"/>
  <c r="E15" i="7"/>
  <c r="O48" i="7"/>
  <c r="G28" i="7"/>
  <c r="G21" i="7"/>
  <c r="G14" i="7"/>
  <c r="G27" i="7"/>
  <c r="G20" i="7"/>
  <c r="G13" i="7"/>
  <c r="G26" i="7"/>
  <c r="G19" i="7"/>
  <c r="G12" i="7"/>
  <c r="G25" i="7"/>
  <c r="G18" i="7"/>
  <c r="G11" i="7"/>
  <c r="G24" i="7"/>
  <c r="G17" i="7"/>
  <c r="G10" i="7"/>
  <c r="G30" i="7"/>
  <c r="G23" i="7"/>
  <c r="G16" i="7"/>
  <c r="G29" i="7"/>
  <c r="G22" i="7"/>
  <c r="G15" i="7"/>
  <c r="E28" i="7"/>
  <c r="E21" i="7"/>
  <c r="E14" i="7"/>
  <c r="H16" i="7"/>
  <c r="H23" i="7"/>
  <c r="H30" i="7"/>
  <c r="E27" i="7"/>
  <c r="E20" i="7"/>
  <c r="E13" i="7"/>
  <c r="I10" i="7"/>
  <c r="I17" i="7"/>
  <c r="I24" i="7"/>
  <c r="E26" i="7"/>
  <c r="E19" i="7"/>
  <c r="E12" i="7"/>
  <c r="H10" i="7"/>
  <c r="H17" i="7"/>
  <c r="H24" i="7"/>
  <c r="I11" i="7"/>
  <c r="I18" i="7"/>
  <c r="I25" i="7"/>
  <c r="E25" i="7"/>
  <c r="E18" i="7"/>
  <c r="E11" i="7"/>
  <c r="H11" i="7"/>
  <c r="H18" i="7"/>
  <c r="H25" i="7"/>
  <c r="I12" i="7"/>
  <c r="I19" i="7"/>
  <c r="I26" i="7"/>
  <c r="E24" i="7"/>
  <c r="E17" i="7"/>
  <c r="H12" i="7"/>
  <c r="H19" i="7"/>
  <c r="H26" i="7"/>
  <c r="I13" i="7"/>
  <c r="I20" i="7"/>
  <c r="I27" i="7"/>
  <c r="E10" i="7"/>
  <c r="H13" i="7"/>
  <c r="H20" i="7"/>
  <c r="H27" i="7"/>
  <c r="I14" i="7"/>
  <c r="I21" i="7"/>
  <c r="I28" i="7"/>
  <c r="E30" i="7"/>
  <c r="E23" i="7"/>
  <c r="E16" i="7"/>
  <c r="H14" i="7"/>
  <c r="H21" i="7"/>
  <c r="H28" i="7"/>
  <c r="I15" i="7"/>
  <c r="I22" i="7"/>
  <c r="I29" i="7"/>
  <c r="E29" i="7"/>
  <c r="E22" i="7"/>
  <c r="H15" i="7"/>
  <c r="H22" i="7"/>
  <c r="I16" i="7"/>
  <c r="I23" i="7"/>
  <c r="I8" i="7"/>
  <c r="E8" i="7"/>
  <c r="G8" i="7"/>
  <c r="H8" i="7"/>
  <c r="F6" i="7"/>
  <c r="F7" i="7" s="1"/>
  <c r="H6" i="6"/>
  <c r="F23" i="6"/>
  <c r="G6" i="6"/>
  <c r="F16" i="6"/>
  <c r="F19" i="6"/>
  <c r="F6" i="6"/>
  <c r="H8" i="6"/>
  <c r="F17" i="6"/>
  <c r="E24" i="6"/>
  <c r="H9" i="6"/>
  <c r="H21" i="6"/>
  <c r="E16" i="6"/>
  <c r="H23" i="6"/>
  <c r="E8" i="6"/>
  <c r="F15" i="6"/>
  <c r="F8" i="6"/>
  <c r="H13" i="6"/>
  <c r="G15" i="6"/>
  <c r="G16" i="6"/>
  <c r="F25" i="6"/>
  <c r="H29" i="6"/>
  <c r="E6" i="6"/>
  <c r="F11" i="6"/>
  <c r="O18" i="6"/>
  <c r="D18" i="6"/>
  <c r="G29" i="6"/>
  <c r="D20" i="6"/>
  <c r="F20" i="6" s="1"/>
  <c r="O20" i="6"/>
  <c r="O26" i="6"/>
  <c r="D26" i="6"/>
  <c r="E26" i="6" s="1"/>
  <c r="O10" i="6"/>
  <c r="D10" i="6"/>
  <c r="D28" i="6"/>
  <c r="H28" i="6" s="1"/>
  <c r="O28" i="6"/>
  <c r="H22" i="6"/>
  <c r="G22" i="6"/>
  <c r="H14" i="6"/>
  <c r="G14" i="6"/>
  <c r="H30" i="6"/>
  <c r="G30" i="6"/>
  <c r="E9" i="6"/>
  <c r="O12" i="6"/>
  <c r="I13" i="6"/>
  <c r="E17" i="6"/>
  <c r="I21" i="6"/>
  <c r="E25" i="6"/>
  <c r="I29" i="6"/>
  <c r="I12" i="6"/>
  <c r="I28" i="6"/>
  <c r="F9" i="6"/>
  <c r="I30" i="6"/>
  <c r="G9" i="6"/>
  <c r="E11" i="6"/>
  <c r="O14" i="6"/>
  <c r="I15" i="6"/>
  <c r="H16" i="6"/>
  <c r="G17" i="6"/>
  <c r="F18" i="6"/>
  <c r="E19" i="6"/>
  <c r="O22" i="6"/>
  <c r="I23" i="6"/>
  <c r="H24" i="6"/>
  <c r="G25" i="6"/>
  <c r="E27" i="6"/>
  <c r="O30" i="6"/>
  <c r="I8" i="6"/>
  <c r="E12" i="6"/>
  <c r="I16" i="6"/>
  <c r="H17" i="6"/>
  <c r="E20" i="6"/>
  <c r="I24" i="6"/>
  <c r="H25" i="6"/>
  <c r="G26" i="6"/>
  <c r="F27" i="6"/>
  <c r="E28" i="6"/>
  <c r="I20" i="6"/>
  <c r="I22" i="6"/>
  <c r="I6" i="6"/>
  <c r="I9" i="6"/>
  <c r="H10" i="6"/>
  <c r="G11" i="6"/>
  <c r="F12" i="6"/>
  <c r="E13" i="6"/>
  <c r="I17" i="6"/>
  <c r="H18" i="6"/>
  <c r="G19" i="6"/>
  <c r="E21" i="6"/>
  <c r="I25" i="6"/>
  <c r="G27" i="6"/>
  <c r="F28" i="6"/>
  <c r="E29" i="6"/>
  <c r="I14" i="6"/>
  <c r="I10" i="6"/>
  <c r="H11" i="6"/>
  <c r="G12" i="6"/>
  <c r="F13" i="6"/>
  <c r="E14" i="6"/>
  <c r="I18" i="6"/>
  <c r="H19" i="6"/>
  <c r="G20" i="6"/>
  <c r="F21" i="6"/>
  <c r="E22" i="6"/>
  <c r="I26" i="6"/>
  <c r="H27" i="6"/>
  <c r="G28" i="6"/>
  <c r="F29" i="6"/>
  <c r="E30" i="6"/>
  <c r="I11" i="6"/>
  <c r="H12" i="6"/>
  <c r="G13" i="6"/>
  <c r="F14" i="6"/>
  <c r="E15" i="6"/>
  <c r="I19" i="6"/>
  <c r="H20" i="6"/>
  <c r="G21" i="6"/>
  <c r="F22" i="6"/>
  <c r="O49" i="7" l="1"/>
  <c r="O50" i="7" s="1"/>
  <c r="F27" i="7"/>
  <c r="F20" i="7"/>
  <c r="F13" i="7"/>
  <c r="F26" i="7"/>
  <c r="F19" i="7"/>
  <c r="F12" i="7"/>
  <c r="F25" i="7"/>
  <c r="F18" i="7"/>
  <c r="F11" i="7"/>
  <c r="F24" i="7"/>
  <c r="F17" i="7"/>
  <c r="F10" i="7"/>
  <c r="F30" i="7"/>
  <c r="F23" i="7"/>
  <c r="F16" i="7"/>
  <c r="F29" i="7"/>
  <c r="F22" i="7"/>
  <c r="F15" i="7"/>
  <c r="F28" i="7"/>
  <c r="F21" i="7"/>
  <c r="F14" i="7"/>
  <c r="O32" i="6"/>
  <c r="O33" i="6" s="1"/>
  <c r="H26" i="6"/>
  <c r="F26" i="6"/>
  <c r="E10" i="6"/>
  <c r="G10" i="6"/>
  <c r="F10" i="6"/>
  <c r="G18" i="6"/>
  <c r="E18" i="6"/>
  <c r="O12" i="4" l="1"/>
  <c r="O16" i="4"/>
  <c r="O18" i="4"/>
  <c r="O26" i="4"/>
  <c r="D22" i="4"/>
  <c r="O22" i="4" s="1"/>
  <c r="D28" i="4"/>
  <c r="O28" i="4" s="1"/>
  <c r="S11" i="4"/>
  <c r="D11" i="4" s="1"/>
  <c r="O11" i="4" s="1"/>
  <c r="S12" i="4"/>
  <c r="D12" i="4" s="1"/>
  <c r="S13" i="4"/>
  <c r="D13" i="4" s="1"/>
  <c r="O13" i="4" s="1"/>
  <c r="S14" i="4"/>
  <c r="D14" i="4" s="1"/>
  <c r="O14" i="4" s="1"/>
  <c r="S15" i="4"/>
  <c r="D15" i="4" s="1"/>
  <c r="O15" i="4" s="1"/>
  <c r="S16" i="4"/>
  <c r="D16" i="4" s="1"/>
  <c r="S17" i="4"/>
  <c r="D17" i="4" s="1"/>
  <c r="O17" i="4" s="1"/>
  <c r="S18" i="4"/>
  <c r="D18" i="4" s="1"/>
  <c r="S19" i="4"/>
  <c r="D19" i="4" s="1"/>
  <c r="O19" i="4" s="1"/>
  <c r="S20" i="4"/>
  <c r="D20" i="4" s="1"/>
  <c r="O20" i="4" s="1"/>
  <c r="S21" i="4"/>
  <c r="D21" i="4" s="1"/>
  <c r="O21" i="4" s="1"/>
  <c r="S22" i="4"/>
  <c r="S23" i="4"/>
  <c r="D23" i="4" s="1"/>
  <c r="O23" i="4" s="1"/>
  <c r="S24" i="4"/>
  <c r="D24" i="4" s="1"/>
  <c r="O24" i="4" s="1"/>
  <c r="S25" i="4"/>
  <c r="D25" i="4" s="1"/>
  <c r="O25" i="4" s="1"/>
  <c r="S26" i="4"/>
  <c r="D26" i="4" s="1"/>
  <c r="S27" i="4"/>
  <c r="D27" i="4" s="1"/>
  <c r="O27" i="4" s="1"/>
  <c r="S28" i="4"/>
  <c r="S29" i="4"/>
  <c r="D29" i="4" s="1"/>
  <c r="O29" i="4" s="1"/>
  <c r="S30" i="4"/>
  <c r="D30" i="4" s="1"/>
  <c r="O30" i="4" s="1"/>
  <c r="S31" i="4"/>
  <c r="D31" i="4" s="1"/>
  <c r="O31" i="4" s="1"/>
  <c r="S32" i="4"/>
  <c r="D32" i="4" s="1"/>
  <c r="O32" i="4" s="1"/>
  <c r="S10" i="4"/>
  <c r="D10" i="4" s="1"/>
  <c r="O10" i="4" s="1"/>
  <c r="O33" i="4" l="1"/>
  <c r="R16" i="4"/>
  <c r="C16" i="4" s="1"/>
  <c r="R24" i="4"/>
  <c r="C24" i="4" s="1"/>
  <c r="R29" i="4"/>
  <c r="C29" i="4" s="1"/>
  <c r="R32" i="4"/>
  <c r="C32" i="4" s="1"/>
  <c r="Q10" i="4"/>
  <c r="R10" i="4" s="1"/>
  <c r="C10" i="4" s="1"/>
  <c r="Q32" i="4"/>
  <c r="Q31" i="4"/>
  <c r="R31" i="4" s="1"/>
  <c r="C31" i="4" s="1"/>
  <c r="Q30" i="4"/>
  <c r="R30" i="4" s="1"/>
  <c r="C30" i="4" s="1"/>
  <c r="Q29" i="4"/>
  <c r="Q28" i="4"/>
  <c r="R28" i="4" s="1"/>
  <c r="C28" i="4" s="1"/>
  <c r="Q27" i="4"/>
  <c r="R27" i="4" s="1"/>
  <c r="C27" i="4" s="1"/>
  <c r="Q26" i="4"/>
  <c r="R26" i="4" s="1"/>
  <c r="C26" i="4" s="1"/>
  <c r="Q25" i="4"/>
  <c r="R25" i="4" s="1"/>
  <c r="C25" i="4" s="1"/>
  <c r="Q24" i="4"/>
  <c r="Q23" i="4"/>
  <c r="R23" i="4" s="1"/>
  <c r="C23" i="4" s="1"/>
  <c r="Q22" i="4"/>
  <c r="R22" i="4" s="1"/>
  <c r="C22" i="4" s="1"/>
  <c r="Q21" i="4"/>
  <c r="R21" i="4" s="1"/>
  <c r="C21" i="4" s="1"/>
  <c r="Q20" i="4"/>
  <c r="R20" i="4" s="1"/>
  <c r="C20" i="4" s="1"/>
  <c r="Q19" i="4"/>
  <c r="R19" i="4" s="1"/>
  <c r="C19" i="4" s="1"/>
  <c r="Q18" i="4"/>
  <c r="R18" i="4" s="1"/>
  <c r="C18" i="4" s="1"/>
  <c r="Q17" i="4"/>
  <c r="R17" i="4" s="1"/>
  <c r="C17" i="4" s="1"/>
  <c r="Q16" i="4"/>
  <c r="Q15" i="4"/>
  <c r="R15" i="4" s="1"/>
  <c r="C15" i="4" s="1"/>
  <c r="Q14" i="4"/>
  <c r="R14" i="4" s="1"/>
  <c r="C14" i="4" s="1"/>
  <c r="Q13" i="4"/>
  <c r="R13" i="4" s="1"/>
  <c r="C13" i="4" s="1"/>
  <c r="Q12" i="4"/>
  <c r="R12" i="4" s="1"/>
  <c r="C12" i="4" s="1"/>
  <c r="Q11" i="4"/>
  <c r="R11" i="4" s="1"/>
  <c r="C11" i="4" s="1"/>
  <c r="I5" i="4"/>
  <c r="I6" i="4" s="1"/>
  <c r="I7" i="4" s="1"/>
  <c r="H5" i="4"/>
  <c r="H6" i="4" s="1"/>
  <c r="H7" i="4" s="1"/>
  <c r="G5" i="4"/>
  <c r="G6" i="4" s="1"/>
  <c r="G7" i="4" s="1"/>
  <c r="F5" i="4"/>
  <c r="F6" i="4" s="1"/>
  <c r="F7" i="4" s="1"/>
  <c r="E5" i="4"/>
  <c r="E6" i="4" s="1"/>
  <c r="E7" i="4" s="1"/>
  <c r="I3" i="4"/>
  <c r="H3" i="4"/>
  <c r="G3" i="4"/>
  <c r="F3" i="4"/>
  <c r="E3" i="4"/>
  <c r="G29" i="4" l="1"/>
  <c r="G21" i="4"/>
  <c r="G13" i="4"/>
  <c r="G28" i="4"/>
  <c r="G20" i="4"/>
  <c r="G12" i="4"/>
  <c r="G27" i="4"/>
  <c r="G19" i="4"/>
  <c r="G11" i="4"/>
  <c r="G17" i="4"/>
  <c r="G32" i="4"/>
  <c r="G24" i="4"/>
  <c r="G16" i="4"/>
  <c r="G26" i="4"/>
  <c r="G18" i="4"/>
  <c r="G10" i="4"/>
  <c r="G25" i="4"/>
  <c r="G31" i="4"/>
  <c r="G23" i="4"/>
  <c r="G15" i="4"/>
  <c r="G30" i="4"/>
  <c r="G22" i="4"/>
  <c r="G14" i="4"/>
  <c r="E16" i="4"/>
  <c r="E24" i="4"/>
  <c r="E32" i="4"/>
  <c r="E17" i="4"/>
  <c r="E25" i="4"/>
  <c r="E10" i="4"/>
  <c r="E18" i="4"/>
  <c r="E26" i="4"/>
  <c r="E20" i="4"/>
  <c r="E13" i="4"/>
  <c r="E21" i="4"/>
  <c r="E29" i="4"/>
  <c r="E11" i="4"/>
  <c r="E19" i="4"/>
  <c r="E27" i="4"/>
  <c r="E12" i="4"/>
  <c r="E28" i="4"/>
  <c r="E14" i="4"/>
  <c r="E22" i="4"/>
  <c r="E30" i="4"/>
  <c r="E15" i="4"/>
  <c r="E23" i="4"/>
  <c r="E31" i="4"/>
  <c r="H30" i="4"/>
  <c r="H22" i="4"/>
  <c r="H14" i="4"/>
  <c r="H29" i="4"/>
  <c r="H21" i="4"/>
  <c r="H13" i="4"/>
  <c r="H28" i="4"/>
  <c r="H20" i="4"/>
  <c r="H12" i="4"/>
  <c r="H26" i="4"/>
  <c r="H10" i="4"/>
  <c r="H25" i="4"/>
  <c r="H17" i="4"/>
  <c r="H27" i="4"/>
  <c r="H19" i="4"/>
  <c r="H11" i="4"/>
  <c r="H18" i="4"/>
  <c r="H32" i="4"/>
  <c r="H24" i="4"/>
  <c r="H16" i="4"/>
  <c r="H31" i="4"/>
  <c r="H23" i="4"/>
  <c r="H15" i="4"/>
  <c r="F28" i="4"/>
  <c r="F20" i="4"/>
  <c r="F12" i="4"/>
  <c r="F27" i="4"/>
  <c r="F19" i="4"/>
  <c r="F11" i="4"/>
  <c r="F26" i="4"/>
  <c r="F18" i="4"/>
  <c r="F10" i="4"/>
  <c r="F16" i="4"/>
  <c r="F31" i="4"/>
  <c r="F15" i="4"/>
  <c r="F25" i="4"/>
  <c r="F17" i="4"/>
  <c r="F32" i="4"/>
  <c r="F24" i="4"/>
  <c r="F23" i="4"/>
  <c r="F30" i="4"/>
  <c r="F22" i="4"/>
  <c r="F14" i="4"/>
  <c r="F29" i="4"/>
  <c r="F21" i="4"/>
  <c r="F13" i="4"/>
  <c r="I31" i="4"/>
  <c r="I23" i="4"/>
  <c r="I15" i="4"/>
  <c r="I30" i="4"/>
  <c r="I22" i="4"/>
  <c r="I14" i="4"/>
  <c r="I29" i="4"/>
  <c r="I21" i="4"/>
  <c r="I13" i="4"/>
  <c r="I27" i="4"/>
  <c r="I11" i="4"/>
  <c r="I26" i="4"/>
  <c r="I18" i="4"/>
  <c r="I10" i="4"/>
  <c r="I28" i="4"/>
  <c r="I20" i="4"/>
  <c r="I12" i="4"/>
  <c r="I19" i="4"/>
  <c r="I25" i="4"/>
  <c r="I17" i="4"/>
  <c r="I32" i="4"/>
  <c r="I24" i="4"/>
  <c r="I16" i="4"/>
  <c r="J39" i="3"/>
  <c r="J40" i="3" s="1"/>
  <c r="H39" i="3"/>
  <c r="H40" i="3" s="1"/>
  <c r="F39" i="3"/>
  <c r="F40" i="3" s="1"/>
  <c r="E41" i="3"/>
  <c r="D40" i="3"/>
  <c r="D39" i="3"/>
  <c r="G26" i="3"/>
  <c r="E26" i="3"/>
  <c r="U16" i="3"/>
  <c r="T16" i="3"/>
  <c r="S16" i="3"/>
  <c r="R16" i="3"/>
  <c r="Q16" i="3"/>
  <c r="P16" i="3"/>
  <c r="U15" i="3"/>
  <c r="J35" i="3" s="1"/>
  <c r="T15" i="3"/>
  <c r="S15" i="3"/>
  <c r="R15" i="3"/>
  <c r="H35" i="3" s="1"/>
  <c r="Q15" i="3"/>
  <c r="F35" i="3" s="1"/>
  <c r="P15" i="3"/>
  <c r="U14" i="3"/>
  <c r="J34" i="3" s="1"/>
  <c r="T14" i="3"/>
  <c r="S14" i="3"/>
  <c r="R14" i="3"/>
  <c r="Q14" i="3"/>
  <c r="F34" i="3" s="1"/>
  <c r="P14" i="3"/>
  <c r="U13" i="3"/>
  <c r="J33" i="3" s="1"/>
  <c r="T13" i="3"/>
  <c r="S13" i="3"/>
  <c r="R13" i="3"/>
  <c r="H33" i="3" s="1"/>
  <c r="Q13" i="3"/>
  <c r="F33" i="3" s="1"/>
  <c r="P13" i="3"/>
  <c r="U12" i="3"/>
  <c r="J32" i="3" s="1"/>
  <c r="T12" i="3"/>
  <c r="S12" i="3"/>
  <c r="R12" i="3"/>
  <c r="H32" i="3" s="1"/>
  <c r="Q12" i="3"/>
  <c r="F32" i="3" s="1"/>
  <c r="P12" i="3"/>
  <c r="U11" i="3"/>
  <c r="J31" i="3" s="1"/>
  <c r="K31" i="3" s="1"/>
  <c r="T11" i="3"/>
  <c r="S11" i="3"/>
  <c r="R11" i="3"/>
  <c r="H31" i="3" s="1"/>
  <c r="I31" i="3" s="1"/>
  <c r="Q11" i="3"/>
  <c r="F31" i="3" s="1"/>
  <c r="G31" i="3" s="1"/>
  <c r="P11" i="3"/>
  <c r="U10" i="3"/>
  <c r="J30" i="3" s="1"/>
  <c r="K30" i="3" s="1"/>
  <c r="T10" i="3"/>
  <c r="S10" i="3"/>
  <c r="R10" i="3"/>
  <c r="H30" i="3" s="1"/>
  <c r="I30" i="3" s="1"/>
  <c r="Q10" i="3"/>
  <c r="F30" i="3" s="1"/>
  <c r="G30" i="3" s="1"/>
  <c r="P10" i="3"/>
  <c r="D30" i="3" s="1"/>
  <c r="E30" i="3" s="1"/>
  <c r="U9" i="3"/>
  <c r="J29" i="3" s="1"/>
  <c r="K29" i="3" s="1"/>
  <c r="T9" i="3"/>
  <c r="S9" i="3"/>
  <c r="R9" i="3"/>
  <c r="H29" i="3" s="1"/>
  <c r="I29" i="3" s="1"/>
  <c r="Q9" i="3"/>
  <c r="F29" i="3" s="1"/>
  <c r="G29" i="3" s="1"/>
  <c r="P9" i="3"/>
  <c r="D29" i="3" s="1"/>
  <c r="E29" i="3" s="1"/>
  <c r="U8" i="3"/>
  <c r="J28" i="3" s="1"/>
  <c r="K28" i="3" s="1"/>
  <c r="T8" i="3"/>
  <c r="S8" i="3"/>
  <c r="R8" i="3"/>
  <c r="H28" i="3" s="1"/>
  <c r="I28" i="3" s="1"/>
  <c r="Q8" i="3"/>
  <c r="F28" i="3" s="1"/>
  <c r="G28" i="3" s="1"/>
  <c r="P8" i="3"/>
  <c r="U7" i="3"/>
  <c r="J27" i="3" s="1"/>
  <c r="K27" i="3" s="1"/>
  <c r="T7" i="3"/>
  <c r="S7" i="3"/>
  <c r="R7" i="3"/>
  <c r="Q7" i="3"/>
  <c r="F27" i="3" s="1"/>
  <c r="G27" i="3" s="1"/>
  <c r="P7" i="3"/>
  <c r="D27" i="3" s="1"/>
  <c r="E27" i="3" s="1"/>
  <c r="U6" i="3"/>
  <c r="J26" i="3" s="1"/>
  <c r="K26" i="3" s="1"/>
  <c r="T6" i="3"/>
  <c r="S6" i="3"/>
  <c r="R6" i="3"/>
  <c r="Q6" i="3"/>
  <c r="F26" i="3" s="1"/>
  <c r="P6" i="3"/>
  <c r="D26" i="3" s="1"/>
  <c r="U5" i="3"/>
  <c r="J25" i="3" s="1"/>
  <c r="T5" i="3"/>
  <c r="S5" i="3"/>
  <c r="R5" i="3"/>
  <c r="Q5" i="3"/>
  <c r="F25" i="3" s="1"/>
  <c r="P5" i="3"/>
  <c r="D25" i="3" s="1"/>
  <c r="U4" i="3"/>
  <c r="J24" i="3" s="1"/>
  <c r="T4" i="3"/>
  <c r="S4" i="3"/>
  <c r="R4" i="3"/>
  <c r="H24" i="3" s="1"/>
  <c r="Q4" i="3"/>
  <c r="F24" i="3" s="1"/>
  <c r="P4" i="3"/>
  <c r="D24" i="3" s="1"/>
  <c r="U22" i="2"/>
  <c r="O19" i="2"/>
  <c r="O18" i="2"/>
  <c r="O17" i="2"/>
  <c r="O16" i="2"/>
  <c r="O15" i="2"/>
  <c r="U14" i="2"/>
  <c r="O14" i="2"/>
  <c r="O13" i="2"/>
  <c r="O12" i="2"/>
  <c r="O11" i="2"/>
  <c r="O10" i="2"/>
  <c r="O9" i="2"/>
  <c r="O8" i="2"/>
  <c r="O7" i="2"/>
  <c r="U6" i="2"/>
  <c r="O6" i="2"/>
  <c r="O5" i="2"/>
  <c r="O4" i="2"/>
  <c r="Q28" i="1"/>
  <c r="C28" i="1" s="1"/>
  <c r="D28" i="1" s="1"/>
  <c r="O28" i="1" s="1"/>
  <c r="Q10" i="1"/>
  <c r="C10" i="1" s="1"/>
  <c r="D10" i="1" s="1"/>
  <c r="O10" i="1" s="1"/>
  <c r="Q11" i="1"/>
  <c r="C11" i="1" s="1"/>
  <c r="D11" i="1" s="1"/>
  <c r="O11" i="1" s="1"/>
  <c r="Q12" i="1"/>
  <c r="C12" i="1" s="1"/>
  <c r="D12" i="1" s="1"/>
  <c r="O12" i="1" s="1"/>
  <c r="Q13" i="1"/>
  <c r="C13" i="1" s="1"/>
  <c r="D13" i="1" s="1"/>
  <c r="O13" i="1" s="1"/>
  <c r="Q14" i="1"/>
  <c r="C14" i="1" s="1"/>
  <c r="D14" i="1" s="1"/>
  <c r="O14" i="1" s="1"/>
  <c r="Q15" i="1"/>
  <c r="C15" i="1" s="1"/>
  <c r="D15" i="1" s="1"/>
  <c r="O15" i="1" s="1"/>
  <c r="Q16" i="1"/>
  <c r="C16" i="1" s="1"/>
  <c r="D16" i="1" s="1"/>
  <c r="O16" i="1" s="1"/>
  <c r="Q17" i="1"/>
  <c r="C17" i="1" s="1"/>
  <c r="D17" i="1" s="1"/>
  <c r="O17" i="1" s="1"/>
  <c r="Q18" i="1"/>
  <c r="C18" i="1" s="1"/>
  <c r="D18" i="1" s="1"/>
  <c r="O18" i="1" s="1"/>
  <c r="Q19" i="1"/>
  <c r="C19" i="1" s="1"/>
  <c r="D19" i="1" s="1"/>
  <c r="O19" i="1" s="1"/>
  <c r="Q20" i="1"/>
  <c r="C20" i="1" s="1"/>
  <c r="D20" i="1" s="1"/>
  <c r="O20" i="1" s="1"/>
  <c r="Q21" i="1"/>
  <c r="C21" i="1" s="1"/>
  <c r="D21" i="1" s="1"/>
  <c r="O21" i="1" s="1"/>
  <c r="Q22" i="1"/>
  <c r="C22" i="1" s="1"/>
  <c r="D22" i="1" s="1"/>
  <c r="O22" i="1" s="1"/>
  <c r="Q9" i="1"/>
  <c r="C9" i="1" s="1"/>
  <c r="D9" i="1" s="1"/>
  <c r="O9" i="1" s="1"/>
  <c r="Q23" i="1"/>
  <c r="C23" i="1" s="1"/>
  <c r="D23" i="1" s="1"/>
  <c r="O23" i="1" s="1"/>
  <c r="Q25" i="1"/>
  <c r="C25" i="1" s="1"/>
  <c r="D25" i="1" s="1"/>
  <c r="O25" i="1" s="1"/>
  <c r="Q26" i="1"/>
  <c r="C26" i="1" s="1"/>
  <c r="D26" i="1" s="1"/>
  <c r="O26" i="1" s="1"/>
  <c r="Q27" i="1"/>
  <c r="C27" i="1" s="1"/>
  <c r="D27" i="1" s="1"/>
  <c r="O27" i="1" s="1"/>
  <c r="D29" i="1"/>
  <c r="Q24" i="1"/>
  <c r="C24" i="1" s="1"/>
  <c r="D24" i="1" s="1"/>
  <c r="O24" i="1" s="1"/>
  <c r="O29" i="1" l="1"/>
  <c r="G38" i="3"/>
  <c r="G41" i="3" s="1"/>
  <c r="K38" i="3"/>
  <c r="K41" i="3" s="1"/>
  <c r="H34" i="3"/>
  <c r="H26" i="3"/>
  <c r="I26" i="3" s="1"/>
  <c r="H27" i="3"/>
  <c r="I27" i="3" s="1"/>
  <c r="I38" i="3" s="1"/>
  <c r="I41" i="3" s="1"/>
  <c r="H25" i="3"/>
  <c r="D28" i="3"/>
  <c r="E28" i="3" s="1"/>
  <c r="E38" i="3" s="1"/>
  <c r="F3" i="1"/>
  <c r="F5" i="1" s="1"/>
  <c r="I3" i="1"/>
  <c r="I5" i="1" s="1"/>
  <c r="H3" i="1"/>
  <c r="H5" i="1" s="1"/>
  <c r="G3" i="1"/>
  <c r="G5" i="1" s="1"/>
  <c r="E3" i="1"/>
  <c r="H35" i="1" l="1"/>
  <c r="H43" i="1"/>
  <c r="H32" i="1"/>
  <c r="H40" i="1"/>
  <c r="H37" i="1"/>
  <c r="H45" i="1"/>
  <c r="H34" i="1"/>
  <c r="H42" i="1"/>
  <c r="H31" i="1"/>
  <c r="H39" i="1"/>
  <c r="H36" i="1"/>
  <c r="H44" i="1"/>
  <c r="H46" i="1"/>
  <c r="H30" i="1"/>
  <c r="H33" i="1"/>
  <c r="H41" i="1"/>
  <c r="H38" i="1"/>
  <c r="G32" i="1"/>
  <c r="G40" i="1"/>
  <c r="G37" i="1"/>
  <c r="G45" i="1"/>
  <c r="G36" i="1"/>
  <c r="G34" i="1"/>
  <c r="G42" i="1"/>
  <c r="G31" i="1"/>
  <c r="G39" i="1"/>
  <c r="G44" i="1"/>
  <c r="G33" i="1"/>
  <c r="G41" i="1"/>
  <c r="G35" i="1"/>
  <c r="G43" i="1"/>
  <c r="G38" i="1"/>
  <c r="G46" i="1"/>
  <c r="G30" i="1"/>
  <c r="I38" i="1"/>
  <c r="I46" i="1"/>
  <c r="I30" i="1"/>
  <c r="I34" i="1"/>
  <c r="I42" i="1"/>
  <c r="I35" i="1"/>
  <c r="I43" i="1"/>
  <c r="I32" i="1"/>
  <c r="I40" i="1"/>
  <c r="I37" i="1"/>
  <c r="I45" i="1"/>
  <c r="I31" i="1"/>
  <c r="I39" i="1"/>
  <c r="I33" i="1"/>
  <c r="I41" i="1"/>
  <c r="I36" i="1"/>
  <c r="I44" i="1"/>
  <c r="F37" i="1"/>
  <c r="F45" i="1"/>
  <c r="F34" i="1"/>
  <c r="F42" i="1"/>
  <c r="F41" i="1"/>
  <c r="F31" i="1"/>
  <c r="F39" i="1"/>
  <c r="F33" i="1"/>
  <c r="F36" i="1"/>
  <c r="F44" i="1"/>
  <c r="F38" i="1"/>
  <c r="F46" i="1"/>
  <c r="F32" i="1"/>
  <c r="F40" i="1"/>
  <c r="F35" i="1"/>
  <c r="F43" i="1"/>
  <c r="F30" i="1"/>
  <c r="O47" i="1"/>
  <c r="G7" i="1"/>
  <c r="G29" i="1"/>
  <c r="G22" i="1"/>
  <c r="G15" i="1"/>
  <c r="G12" i="1"/>
  <c r="G28" i="1"/>
  <c r="G21" i="1"/>
  <c r="G14" i="1"/>
  <c r="G26" i="1"/>
  <c r="G27" i="1"/>
  <c r="G20" i="1"/>
  <c r="G13" i="1"/>
  <c r="G19" i="1"/>
  <c r="G25" i="1"/>
  <c r="G18" i="1"/>
  <c r="G11" i="1"/>
  <c r="G16" i="1"/>
  <c r="G24" i="1"/>
  <c r="G17" i="1"/>
  <c r="G10" i="1"/>
  <c r="G23" i="1"/>
  <c r="G9" i="1"/>
  <c r="H7" i="1"/>
  <c r="H13" i="1"/>
  <c r="H16" i="1"/>
  <c r="H29" i="1"/>
  <c r="H22" i="1"/>
  <c r="H15" i="1"/>
  <c r="H20" i="1"/>
  <c r="H28" i="1"/>
  <c r="H21" i="1"/>
  <c r="H14" i="1"/>
  <c r="H27" i="1"/>
  <c r="H26" i="1"/>
  <c r="H19" i="1"/>
  <c r="H12" i="1"/>
  <c r="H24" i="1"/>
  <c r="H10" i="1"/>
  <c r="H23" i="1"/>
  <c r="H25" i="1"/>
  <c r="H18" i="1"/>
  <c r="H11" i="1"/>
  <c r="H17" i="1"/>
  <c r="H9" i="1"/>
  <c r="I7" i="1"/>
  <c r="I23" i="1"/>
  <c r="I16" i="1"/>
  <c r="I9" i="1"/>
  <c r="I14" i="1"/>
  <c r="I21" i="1"/>
  <c r="I24" i="1"/>
  <c r="I29" i="1"/>
  <c r="I22" i="1"/>
  <c r="I15" i="1"/>
  <c r="I28" i="1"/>
  <c r="I10" i="1"/>
  <c r="I27" i="1"/>
  <c r="I20" i="1"/>
  <c r="I13" i="1"/>
  <c r="I18" i="1"/>
  <c r="I26" i="1"/>
  <c r="I19" i="1"/>
  <c r="I12" i="1"/>
  <c r="I25" i="1"/>
  <c r="I11" i="1"/>
  <c r="I17" i="1"/>
  <c r="F7" i="1"/>
  <c r="F28" i="1"/>
  <c r="F21" i="1"/>
  <c r="F14" i="1"/>
  <c r="F22" i="1"/>
  <c r="F27" i="1"/>
  <c r="F20" i="1"/>
  <c r="F13" i="1"/>
  <c r="F25" i="1"/>
  <c r="F11" i="1"/>
  <c r="F26" i="1"/>
  <c r="F19" i="1"/>
  <c r="F12" i="1"/>
  <c r="F18" i="1"/>
  <c r="F24" i="1"/>
  <c r="F17" i="1"/>
  <c r="F10" i="1"/>
  <c r="F29" i="1"/>
  <c r="F23" i="1"/>
  <c r="F16" i="1"/>
  <c r="F9" i="1"/>
  <c r="F15" i="1"/>
  <c r="E5" i="1"/>
  <c r="G6" i="1"/>
  <c r="F6" i="1"/>
  <c r="I6" i="1"/>
  <c r="O34" i="4"/>
  <c r="O35" i="4" s="1"/>
  <c r="E6" i="1" l="1"/>
  <c r="E34" i="1"/>
  <c r="E42" i="1"/>
  <c r="E31" i="1"/>
  <c r="E39" i="1"/>
  <c r="E38" i="1"/>
  <c r="E46" i="1"/>
  <c r="E36" i="1"/>
  <c r="E44" i="1"/>
  <c r="E33" i="1"/>
  <c r="E41" i="1"/>
  <c r="E35" i="1"/>
  <c r="E43" i="1"/>
  <c r="E30" i="1"/>
  <c r="E37" i="1"/>
  <c r="E32" i="1"/>
  <c r="E40" i="1"/>
  <c r="E45" i="1"/>
  <c r="O48" i="1"/>
  <c r="O49" i="1" s="1"/>
  <c r="E7" i="1"/>
  <c r="E12" i="1"/>
  <c r="E19" i="1"/>
  <c r="E26" i="1"/>
  <c r="E15" i="1"/>
  <c r="E13" i="1"/>
  <c r="E20" i="1"/>
  <c r="E27" i="1"/>
  <c r="E29" i="1"/>
  <c r="E11" i="1"/>
  <c r="E14" i="1"/>
  <c r="E21" i="1"/>
  <c r="E28" i="1"/>
  <c r="E22" i="1"/>
  <c r="E18" i="1"/>
  <c r="E9" i="1"/>
  <c r="E10" i="1"/>
  <c r="E24" i="1"/>
  <c r="E25" i="1"/>
  <c r="E16" i="1"/>
  <c r="E23" i="1"/>
  <c r="E17" i="1"/>
  <c r="H6" i="1"/>
</calcChain>
</file>

<file path=xl/sharedStrings.xml><?xml version="1.0" encoding="utf-8"?>
<sst xmlns="http://schemas.openxmlformats.org/spreadsheetml/2006/main" count="894" uniqueCount="270">
  <si>
    <t xml:space="preserve">6-1/8" Rigid Coaxial </t>
  </si>
  <si>
    <t xml:space="preserve">8-3/16" Rigid Coaxial </t>
  </si>
  <si>
    <t xml:space="preserve">Model </t>
  </si>
  <si>
    <t>Max Flow (SCFD)</t>
  </si>
  <si>
    <t>Max Volume (FT^3)</t>
  </si>
  <si>
    <t>Max Volume (IN^3)</t>
  </si>
  <si>
    <t xml:space="preserve">7-3/16" Rigid Coaxial </t>
  </si>
  <si>
    <t xml:space="preserve">4-1/16" Rigid Coaxial </t>
  </si>
  <si>
    <t>Max Flow (SCFM)</t>
  </si>
  <si>
    <t xml:space="preserve">3-1/8" Rigid Coaxial </t>
  </si>
  <si>
    <t>Dehydrator Calculator</t>
  </si>
  <si>
    <t>NOTES</t>
  </si>
  <si>
    <t>DRYLINE MT050C</t>
  </si>
  <si>
    <t>FOR NOMINAL FLOW RATES LESS THAN 140 SCFD</t>
  </si>
  <si>
    <t>FOR NOMINAL FLOW RATES 140-350 SCFD</t>
  </si>
  <si>
    <t>DRYLINE MT500D</t>
  </si>
  <si>
    <t>2-5 PSI</t>
  </si>
  <si>
    <t>FOR NOMINAL FLOW RATES LESS THAN 350SCFD</t>
  </si>
  <si>
    <t>FOR NOMINAL FLOW RATES 350 - 1100 SCFD</t>
  </si>
  <si>
    <t>HR150</t>
  </si>
  <si>
    <t>.22-.7 PSI</t>
  </si>
  <si>
    <t>DIELECTRIC</t>
  </si>
  <si>
    <t>2-15 PSI</t>
  </si>
  <si>
    <t>.1- 2.0 PSI</t>
  </si>
  <si>
    <t>.1-2.0 PSI</t>
  </si>
  <si>
    <t>RFS</t>
  </si>
  <si>
    <t>APD20-D</t>
  </si>
  <si>
    <t>1-10 PSI</t>
  </si>
  <si>
    <t>APD22-D</t>
  </si>
  <si>
    <t>APD70-D</t>
  </si>
  <si>
    <t>APD72-D</t>
  </si>
  <si>
    <t>TSI</t>
  </si>
  <si>
    <t>NOTE: TO BE USED AS A GENERAL GUIDE, AS SOME OPERATING SPECS MAY BE DIFFERENT, AS WELL AS DIMENSIONS</t>
  </si>
  <si>
    <t xml:space="preserve">MANUFACTURER </t>
  </si>
  <si>
    <t>Model</t>
  </si>
  <si>
    <t>.5-15 PSI</t>
  </si>
  <si>
    <t>.5-10 PSI</t>
  </si>
  <si>
    <t>15 PSI</t>
  </si>
  <si>
    <t>VOLTAGE (VAC)</t>
  </si>
  <si>
    <t>FLOW
(SCFM)</t>
  </si>
  <si>
    <t xml:space="preserve"> EQUIVALENT  MODEL</t>
  </si>
  <si>
    <t>3U Series</t>
  </si>
  <si>
    <t>5U Series</t>
  </si>
  <si>
    <t>FS Series</t>
  </si>
  <si>
    <t>FOR ANY ADDITIONAL INFORMATION, PLEASE CONTACT YOUR ACCOUNT MANAGER</t>
  </si>
  <si>
    <t>1000 TLS</t>
  </si>
  <si>
    <t>ANDREW / COMMSCOPE</t>
  </si>
  <si>
    <t>PRESSURE  (PSI)</t>
  </si>
  <si>
    <t>300 TLS</t>
  </si>
  <si>
    <t xml:space="preserve"> FLOW
(SCFD)</t>
  </si>
  <si>
    <t>850 D</t>
  </si>
  <si>
    <t>850 C</t>
  </si>
  <si>
    <t>600 D</t>
  </si>
  <si>
    <t>600 C</t>
  </si>
  <si>
    <t>Estimated Max Length of Line (FT)</t>
  </si>
  <si>
    <t>Volume (FT^3)</t>
  </si>
  <si>
    <t>Length 4 (FT)</t>
  </si>
  <si>
    <t>Length 3 (FT)</t>
  </si>
  <si>
    <t>Length 2 (FT)</t>
  </si>
  <si>
    <t>Length 1 (FT)</t>
  </si>
  <si>
    <t xml:space="preserve">1-5/8" Rigid Coaxial  </t>
  </si>
  <si>
    <t xml:space="preserve">7/8" Rigid Coaxial  </t>
  </si>
  <si>
    <t xml:space="preserve">HCA38 | 3/8" Coaxial </t>
  </si>
  <si>
    <t xml:space="preserve">HCA12 | 1/2" Coaxial </t>
  </si>
  <si>
    <t xml:space="preserve">HCA58 | 5/8" Coaxial </t>
  </si>
  <si>
    <t xml:space="preserve">HCA78 | 7/8" Coaxial </t>
  </si>
  <si>
    <t>HCA118 | 1-1/8" Coaxial</t>
  </si>
  <si>
    <t xml:space="preserve">HCA158 | 1-5/8" Coaxial </t>
  </si>
  <si>
    <t xml:space="preserve">HCA214 | 2-1/4" Coaxial </t>
  </si>
  <si>
    <t xml:space="preserve">HCA295 | 3" Coaxial </t>
  </si>
  <si>
    <t xml:space="preserve">HCA300 | 3" Coaxial </t>
  </si>
  <si>
    <t xml:space="preserve">HCA400 | 4" Coaxial </t>
  </si>
  <si>
    <t xml:space="preserve">HCA495 | 5" Coaxial </t>
  </si>
  <si>
    <t xml:space="preserve">HCA550 | 5-1/2" Coaxial </t>
  </si>
  <si>
    <t xml:space="preserve">HCA618 | 6-1/8" Coaxial </t>
  </si>
  <si>
    <t xml:space="preserve">HCA800 | 8" Coaxial </t>
  </si>
  <si>
    <t xml:space="preserve">HCA900 | 9" Coaxial </t>
  </si>
  <si>
    <t xml:space="preserve">9-3/16" Rigid Coaxial </t>
  </si>
  <si>
    <t>Est Total Volume (FT^3)</t>
  </si>
  <si>
    <t>Transmission Sizing Chart</t>
  </si>
  <si>
    <r>
      <t xml:space="preserve">If sizing a Dehydrator for multiple runs, use chart below to enter up lengths of each size Transmission Line to calculate </t>
    </r>
    <r>
      <rPr>
        <u/>
        <sz val="10"/>
        <color theme="1"/>
        <rFont val="Calibri"/>
        <family val="2"/>
        <scheme val="minor"/>
      </rPr>
      <t xml:space="preserve">Total Volume.
</t>
    </r>
    <r>
      <rPr>
        <sz val="10"/>
        <color theme="1"/>
        <rFont val="Calibri"/>
        <family val="2"/>
        <scheme val="minor"/>
      </rPr>
      <t xml:space="preserve">
*Calculator will suggest a single Dehydrator for the total volume*</t>
    </r>
  </si>
  <si>
    <t>&lt; 81</t>
  </si>
  <si>
    <t>Quick Reference Replacement Guide (Based on MFG Flow Rates, and MFG Estimated Max Volume FT^3)</t>
  </si>
  <si>
    <t>MAX Volume (FT^3)</t>
  </si>
  <si>
    <t>Recommended Dehydrator Model</t>
  </si>
  <si>
    <t>Make</t>
  </si>
  <si>
    <t>SCFM</t>
  </si>
  <si>
    <t>SCFD</t>
  </si>
  <si>
    <t>MAX</t>
  </si>
  <si>
    <t>Mains</t>
  </si>
  <si>
    <t>Current</t>
  </si>
  <si>
    <t>Freq</t>
  </si>
  <si>
    <t>*Andrew</t>
  </si>
  <si>
    <t>*Dielectric</t>
  </si>
  <si>
    <t>* Puregas</t>
  </si>
  <si>
    <t>APD20</t>
  </si>
  <si>
    <t>coax size</t>
  </si>
  <si>
    <t>vol ft^3/ft</t>
  </si>
  <si>
    <t>vol ft^3</t>
  </si>
  <si>
    <t>Length ft</t>
  </si>
  <si>
    <t>Max ft^3*</t>
  </si>
  <si>
    <t>APD22</t>
  </si>
  <si>
    <t>3-1/8"</t>
  </si>
  <si>
    <t>300_TLS</t>
  </si>
  <si>
    <t>Dielectric</t>
  </si>
  <si>
    <t>4-1/16"</t>
  </si>
  <si>
    <t>Max ft^3</t>
  </si>
  <si>
    <t>6-1/8"</t>
  </si>
  <si>
    <t>Interpolated</t>
  </si>
  <si>
    <t>P550W</t>
  </si>
  <si>
    <t>Puregas</t>
  </si>
  <si>
    <t>7-3/16"</t>
  </si>
  <si>
    <t>P552W</t>
  </si>
  <si>
    <t>8-3/16"</t>
  </si>
  <si>
    <t>600C</t>
  </si>
  <si>
    <t>9-3/16"</t>
  </si>
  <si>
    <t>* based on Andrew ratings from catalogue 38 pg 247</t>
  </si>
  <si>
    <t>HCA158</t>
  </si>
  <si>
    <t>1000_TLS</t>
  </si>
  <si>
    <t>HCA214</t>
  </si>
  <si>
    <t>HCA295</t>
  </si>
  <si>
    <t>850C</t>
  </si>
  <si>
    <t>HCA300</t>
  </si>
  <si>
    <t>HCA400</t>
  </si>
  <si>
    <t>APD70</t>
  </si>
  <si>
    <t>HCA495</t>
  </si>
  <si>
    <t>HCA550</t>
  </si>
  <si>
    <t>P1500W</t>
  </si>
  <si>
    <t>HCA618</t>
  </si>
  <si>
    <t xml:space="preserve">* based on Dielectric sizing chart </t>
  </si>
  <si>
    <t>P1503W</t>
  </si>
  <si>
    <t>HCA800</t>
  </si>
  <si>
    <t>HCA900</t>
  </si>
  <si>
    <t>P4200W</t>
  </si>
  <si>
    <t>P4202W</t>
  </si>
  <si>
    <t>P8402W</t>
  </si>
  <si>
    <t>50/60</t>
  </si>
  <si>
    <t>* based on Puregas data</t>
  </si>
  <si>
    <t>MAX ft^3</t>
  </si>
  <si>
    <t>Cross Area
(FT^3 / FT)</t>
  </si>
  <si>
    <t>Diameter (IN)</t>
  </si>
  <si>
    <t>REPACED BY ======&gt;</t>
  </si>
  <si>
    <t>MW45</t>
  </si>
  <si>
    <t>P200W OR MW200/600</t>
  </si>
  <si>
    <t>P1500W OR AIR 1500TM</t>
  </si>
  <si>
    <t>Ft  of cable served per SCFD provided</t>
  </si>
  <si>
    <t>TRANSMISSION LINES/ANTENNAS</t>
  </si>
  <si>
    <t>P-440MW (ft)</t>
  </si>
  <si>
    <t>P-05900 (ft)</t>
  </si>
  <si>
    <t>P-550 (ft)</t>
  </si>
  <si>
    <t>P-A3 (ft)</t>
  </si>
  <si>
    <t>P-A4 (ft)</t>
  </si>
  <si>
    <t>P-A5 (ft)</t>
  </si>
  <si>
    <t>P-3100-DPNWB (ft)</t>
  </si>
  <si>
    <t>P-125MW (# antennas)</t>
  </si>
  <si>
    <t>P-500MW (# antennas)</t>
  </si>
  <si>
    <t>3.7 GHz &amp; higher Waveguide</t>
  </si>
  <si>
    <t>-</t>
  </si>
  <si>
    <t>1.7-3/7 GHz Waveguide</t>
  </si>
  <si>
    <t>1-5/8 &amp; Smaller Coaxial</t>
  </si>
  <si>
    <t>3" Coaxial</t>
  </si>
  <si>
    <t>4" Coaxial</t>
  </si>
  <si>
    <t>5" Coaxial</t>
  </si>
  <si>
    <t>6-1/8" Rigid Coaxial</t>
  </si>
  <si>
    <t>8-3/16" Rigid Coaxial</t>
  </si>
  <si>
    <t>Circular Waveguide 13.5mm</t>
  </si>
  <si>
    <t>Circular Waveguide 15.0mm</t>
  </si>
  <si>
    <t>Circular Waveguide 17.0mm</t>
  </si>
  <si>
    <t>Circular Waveguide 17.5mm</t>
  </si>
  <si>
    <t>Horn Reflector Antenna</t>
  </si>
  <si>
    <t>Flow (scfd)</t>
  </si>
  <si>
    <t>DEHYDRATOR CAPACITY/SELECTION CHART FOR PRESSURIZING TRANSMISSION LINES</t>
  </si>
  <si>
    <t>P200W Series (ft)</t>
  </si>
  <si>
    <t>P550W Series (ft)</t>
  </si>
  <si>
    <t>P1500W Series (ft)</t>
  </si>
  <si>
    <t>P4200W Series (ft)</t>
  </si>
  <si>
    <t>Rated Flow (scfd)</t>
  </si>
  <si>
    <t>Notes</t>
  </si>
  <si>
    <t>MW45 has identical specs to P-440MW</t>
  </si>
  <si>
    <t>P4200W is similar in flow to the P-3100-DPNWB as well as P-A5. P-3100 has higher ft/flow, so used it to determine P4200W capacity.</t>
  </si>
  <si>
    <t>1992 ORIGINAL TABLE: DEHYDRATOR CAPACITY/SELECTION CHART FOR PRESSURIZING TRANSMISSION LINES</t>
  </si>
  <si>
    <t>Ft^3 / Ft</t>
  </si>
  <si>
    <t>Max Volume</t>
  </si>
  <si>
    <t>SCFH</t>
  </si>
  <si>
    <t>Hours</t>
  </si>
  <si>
    <t>Avg Max Volume (ft^3)</t>
  </si>
  <si>
    <t>BD210W Series</t>
  </si>
  <si>
    <t>BD550W Series</t>
  </si>
  <si>
    <t>BD1500W Series</t>
  </si>
  <si>
    <t>BD4200W Series</t>
  </si>
  <si>
    <t>BD8400W Series</t>
  </si>
  <si>
    <t xml:space="preserve"> </t>
  </si>
  <si>
    <t>BD210WLP</t>
  </si>
  <si>
    <t>BD550WLP</t>
  </si>
  <si>
    <t>BD1500WLP</t>
  </si>
  <si>
    <t xml:space="preserve">BD550W </t>
  </si>
  <si>
    <t>BD1500W</t>
  </si>
  <si>
    <t>BD212WLP</t>
  </si>
  <si>
    <t>BD1502W</t>
  </si>
  <si>
    <t>BD4200W</t>
  </si>
  <si>
    <t>BD4202W</t>
  </si>
  <si>
    <t>BD552W</t>
  </si>
  <si>
    <t>IF PRESSURE &lt; 7.5 PSIG, USE BD1500WLP MODEL</t>
  </si>
  <si>
    <t>IF PRESSURE &lt; 7.5 PSIG, USE BD1502WLP MODEL</t>
  </si>
  <si>
    <t>IF PRESSURE &lt; 7.5 PSIG, USE BD4200WLP MODEL</t>
  </si>
  <si>
    <t>IF PRESSURE &lt; 7.5 PSIG, USE BD4202WLP MODEL</t>
  </si>
  <si>
    <t>BD1502WLP</t>
  </si>
  <si>
    <t>BD4200WLP</t>
  </si>
  <si>
    <t xml:space="preserve">BD4200W </t>
  </si>
  <si>
    <t xml:space="preserve">Est Pump Up Time (0-5psig) (HRs) </t>
  </si>
  <si>
    <t>Max Flow (SCMM)</t>
  </si>
  <si>
    <t>Max Flow (SCMD)</t>
  </si>
  <si>
    <t>Diameter (cm)</t>
  </si>
  <si>
    <t>Max Volume (cm^3)</t>
  </si>
  <si>
    <t>Max Volume (m^3)</t>
  </si>
  <si>
    <t>Estimated Max Length of Line (m)</t>
  </si>
  <si>
    <t>Length 1 (m)</t>
  </si>
  <si>
    <t>Length 2 (m)</t>
  </si>
  <si>
    <t>Length 3 (m)</t>
  </si>
  <si>
    <t>Length 4 (m)</t>
  </si>
  <si>
    <t xml:space="preserve">IN </t>
  </si>
  <si>
    <t>CM</t>
  </si>
  <si>
    <t>FT^3/FT</t>
  </si>
  <si>
    <t>l/m</t>
  </si>
  <si>
    <t>Cross Area
(l/m)</t>
  </si>
  <si>
    <t>Max Volume (l)</t>
  </si>
  <si>
    <t>Volume (liter)</t>
  </si>
  <si>
    <t>Est Total Volume (l)</t>
  </si>
  <si>
    <t xml:space="preserve">Added Metric Calculation.  </t>
  </si>
  <si>
    <t>Changed Max Volume of units to 35% to be conservative in estimates</t>
  </si>
  <si>
    <t xml:space="preserve">Added Estimated Hours on pump up for 0-5psig. </t>
  </si>
  <si>
    <t>JVD</t>
  </si>
  <si>
    <t xml:space="preserve">Date </t>
  </si>
  <si>
    <t xml:space="preserve">Initials </t>
  </si>
  <si>
    <t xml:space="preserve">Notes </t>
  </si>
  <si>
    <t xml:space="preserve">Est Pump Up Time (HRs) </t>
  </si>
  <si>
    <t>EST Line Pressure (PSIG)</t>
  </si>
  <si>
    <t xml:space="preserve">Est Pump-Up Time (HRs) </t>
  </si>
  <si>
    <t>Reference</t>
  </si>
  <si>
    <t>MAX Calc Run Time (HRs)</t>
  </si>
  <si>
    <t>EST Line Pressure (kPa)</t>
  </si>
  <si>
    <t>Move Quick Reference Table to Hidden Tab (Customer Version)</t>
  </si>
  <si>
    <t>Hide Diameter Column (Customer Version)</t>
  </si>
  <si>
    <t xml:space="preserve">Added Input for Required Pump Up Time. </t>
  </si>
  <si>
    <t>BD Dehydrator Calculator</t>
  </si>
  <si>
    <t>Recommended BD Dehydrator Model</t>
  </si>
  <si>
    <t>Hide Pump Up Time Reference</t>
  </si>
  <si>
    <t>Moved back to 11.25 / 35% Reference</t>
  </si>
  <si>
    <t>Dehydrator Sizing Chart</t>
  </si>
  <si>
    <r>
      <t xml:space="preserve">If sizing a Dehydrator for multiple runs, use chart below to enter up lengths of each size Transmission Line or Waveguide to calculate </t>
    </r>
    <r>
      <rPr>
        <u/>
        <sz val="10"/>
        <color theme="1"/>
        <rFont val="Calibri"/>
        <family val="2"/>
        <scheme val="minor"/>
      </rPr>
      <t>Total Volume.</t>
    </r>
    <r>
      <rPr>
        <sz val="10"/>
        <color theme="1"/>
        <rFont val="Calibri"/>
        <family val="2"/>
        <scheme val="minor"/>
      </rPr>
      <t xml:space="preserve">
**Calculator will suggest a single Dehydrator for the total volume.  
**If "N/A" may need multiple units to adequately supply pressure.</t>
    </r>
  </si>
  <si>
    <t>E 30 | Waveguide</t>
  </si>
  <si>
    <t>E 38 | Waveguide</t>
  </si>
  <si>
    <t>ES 46 | Waveguide</t>
  </si>
  <si>
    <t>E 46 | Waveguide</t>
  </si>
  <si>
    <t>E 58 | Waveguide</t>
  </si>
  <si>
    <t>E 60 | Waveguide</t>
  </si>
  <si>
    <t>E 65 | Waveguide</t>
  </si>
  <si>
    <t>E 70 | Waveguide</t>
  </si>
  <si>
    <t>E 78 | Waveguide</t>
  </si>
  <si>
    <t>E 100 | Waveguide</t>
  </si>
  <si>
    <t>E 105 | Waveguide</t>
  </si>
  <si>
    <t>E 130 | Waveguide</t>
  </si>
  <si>
    <t>E 150 | Waveguide</t>
  </si>
  <si>
    <t>E 185 | Waveguide</t>
  </si>
  <si>
    <t>E 220 | Waveguide</t>
  </si>
  <si>
    <t>E 250 | Waveguide</t>
  </si>
  <si>
    <t>E 380 | Waveguide</t>
  </si>
  <si>
    <r>
      <t xml:space="preserve">If sizing a Dehydrator for multiple runs, use chart below to enter up lengths of each size Transmission Line or Waveguide to calculate </t>
    </r>
    <r>
      <rPr>
        <u/>
        <sz val="10"/>
        <color theme="1"/>
        <rFont val="Calibri"/>
        <family val="2"/>
        <scheme val="minor"/>
      </rPr>
      <t>Total Volume.</t>
    </r>
    <r>
      <rPr>
        <sz val="10"/>
        <color theme="1"/>
        <rFont val="Calibri"/>
        <family val="2"/>
        <scheme val="minor"/>
      </rPr>
      <t xml:space="preserve">
**Calculator will suggest a single Dehydrator for the total volume
**If "N/A" may need multiple units to adequately supply pressure.</t>
    </r>
  </si>
  <si>
    <t>Added Waveguide Reference, Removed HCA295 and 7/8" Rigid Coaxial</t>
  </si>
  <si>
    <t xml:space="preserve">Updated naming of File and Hid/locked additional reference cells.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</si>
</sst>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0.0000"/>
    <numFmt numFmtId="167" formatCode="#,##0.000_);\(#,##0.000\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2020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9">
    <xf numFmtId="0" fontId="0" fillId="0" borderId="0" xfId="0"/>
    <xf numFmtId="1" fontId="0" fillId="0" borderId="0" xfId="0" applyNumberFormat="1" applyAlignment="1">
      <alignment horizontal="center" vertical="center"/>
    </xf>
    <xf numFmtId="0" fontId="8" fillId="8" borderId="14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vertical="center"/>
    </xf>
    <xf numFmtId="0" fontId="7" fillId="8" borderId="22" xfId="0" applyFont="1" applyFill="1" applyBorder="1" applyAlignment="1">
      <alignment horizontal="center" vertical="center"/>
    </xf>
    <xf numFmtId="0" fontId="2" fillId="7" borderId="11" xfId="0" applyFont="1" applyFill="1" applyBorder="1" applyAlignment="1"/>
    <xf numFmtId="0" fontId="2" fillId="7" borderId="12" xfId="0" applyFont="1" applyFill="1" applyBorder="1" applyAlignment="1"/>
    <xf numFmtId="0" fontId="2" fillId="7" borderId="13" xfId="0" applyFont="1" applyFill="1" applyBorder="1" applyAlignment="1"/>
    <xf numFmtId="0" fontId="0" fillId="2" borderId="1" xfId="0" applyFill="1" applyBorder="1"/>
    <xf numFmtId="0" fontId="0" fillId="2" borderId="15" xfId="0" applyFill="1" applyBorder="1"/>
    <xf numFmtId="0" fontId="0" fillId="4" borderId="9" xfId="0" applyFill="1" applyBorder="1" applyAlignment="1">
      <alignment horizontal="center"/>
    </xf>
    <xf numFmtId="0" fontId="0" fillId="2" borderId="14" xfId="0" applyFill="1" applyBorder="1"/>
    <xf numFmtId="0" fontId="7" fillId="8" borderId="37" xfId="0" applyFont="1" applyFill="1" applyBorder="1" applyAlignment="1">
      <alignment vertical="center"/>
    </xf>
    <xf numFmtId="0" fontId="7" fillId="8" borderId="38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6" borderId="14" xfId="0" applyFill="1" applyBorder="1"/>
    <xf numFmtId="0" fontId="0" fillId="6" borderId="15" xfId="0" applyFill="1" applyBorder="1"/>
    <xf numFmtId="0" fontId="0" fillId="6" borderId="10" xfId="0" applyFill="1" applyBorder="1" applyAlignment="1"/>
    <xf numFmtId="0" fontId="0" fillId="6" borderId="10" xfId="0" applyFill="1" applyBorder="1"/>
    <xf numFmtId="0" fontId="7" fillId="8" borderId="36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9" fontId="5" fillId="6" borderId="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37" fontId="0" fillId="0" borderId="2" xfId="1" applyNumberFormat="1" applyFont="1" applyBorder="1" applyAlignment="1" applyProtection="1">
      <alignment horizontal="center" vertical="center"/>
    </xf>
    <xf numFmtId="37" fontId="0" fillId="0" borderId="1" xfId="1" applyNumberFormat="1" applyFont="1" applyBorder="1" applyAlignment="1" applyProtection="1">
      <alignment horizontal="center" vertical="center"/>
    </xf>
    <xf numFmtId="37" fontId="0" fillId="0" borderId="3" xfId="1" applyNumberFormat="1" applyFont="1" applyBorder="1" applyAlignment="1" applyProtection="1">
      <alignment horizontal="center" vertical="center"/>
    </xf>
    <xf numFmtId="37" fontId="0" fillId="0" borderId="4" xfId="1" applyNumberFormat="1" applyFont="1" applyBorder="1" applyAlignment="1" applyProtection="1">
      <alignment horizontal="center" vertical="center"/>
    </xf>
    <xf numFmtId="3" fontId="0" fillId="0" borderId="14" xfId="1" applyNumberFormat="1" applyFont="1" applyBorder="1" applyAlignment="1" applyProtection="1">
      <alignment horizontal="center" vertical="center"/>
    </xf>
    <xf numFmtId="3" fontId="0" fillId="3" borderId="15" xfId="1" applyNumberFormat="1" applyFont="1" applyFill="1" applyBorder="1" applyAlignment="1" applyProtection="1">
      <alignment horizontal="center" vertical="center"/>
    </xf>
    <xf numFmtId="3" fontId="0" fillId="0" borderId="15" xfId="1" applyNumberFormat="1" applyFont="1" applyBorder="1" applyAlignment="1" applyProtection="1">
      <alignment horizontal="center" vertical="center"/>
    </xf>
    <xf numFmtId="0" fontId="0" fillId="6" borderId="3" xfId="0" applyFill="1" applyBorder="1" applyProtection="1"/>
    <xf numFmtId="0" fontId="0" fillId="6" borderId="4" xfId="0" applyFill="1" applyBorder="1" applyProtection="1"/>
    <xf numFmtId="0" fontId="0" fillId="6" borderId="7" xfId="0" applyFill="1" applyBorder="1" applyProtection="1"/>
    <xf numFmtId="0" fontId="0" fillId="6" borderId="8" xfId="0" applyFill="1" applyBorder="1" applyProtection="1"/>
    <xf numFmtId="0" fontId="0" fillId="6" borderId="9" xfId="0" applyFill="1" applyBorder="1" applyProtection="1"/>
    <xf numFmtId="0" fontId="0" fillId="7" borderId="24" xfId="0" applyFill="1" applyBorder="1" applyAlignment="1" applyProtection="1">
      <alignment horizontal="center"/>
      <protection locked="0"/>
    </xf>
    <xf numFmtId="0" fontId="0" fillId="7" borderId="16" xfId="0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locked="0"/>
    </xf>
    <xf numFmtId="0" fontId="8" fillId="8" borderId="1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6" borderId="6" xfId="0" applyFill="1" applyBorder="1"/>
    <xf numFmtId="0" fontId="0" fillId="10" borderId="24" xfId="0" applyFill="1" applyBorder="1" applyAlignment="1" applyProtection="1">
      <alignment horizontal="center"/>
      <protection locked="0"/>
    </xf>
    <xf numFmtId="0" fontId="0" fillId="10" borderId="16" xfId="0" applyFill="1" applyBorder="1" applyAlignment="1" applyProtection="1">
      <alignment horizontal="center"/>
      <protection locked="0"/>
    </xf>
    <xf numFmtId="0" fontId="0" fillId="10" borderId="18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165" fontId="0" fillId="0" borderId="5" xfId="0" applyNumberForma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1" fontId="7" fillId="0" borderId="16" xfId="0" applyNumberFormat="1" applyFont="1" applyBorder="1" applyAlignment="1">
      <alignment horizontal="center" vertical="center"/>
    </xf>
    <xf numFmtId="2" fontId="7" fillId="8" borderId="22" xfId="0" applyNumberFormat="1" applyFont="1" applyFill="1" applyBorder="1" applyAlignment="1">
      <alignment horizontal="center" vertical="center"/>
    </xf>
    <xf numFmtId="2" fontId="7" fillId="8" borderId="38" xfId="0" applyNumberFormat="1" applyFont="1" applyFill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7" fillId="6" borderId="37" xfId="0" applyFont="1" applyFill="1" applyBorder="1"/>
    <xf numFmtId="0" fontId="7" fillId="6" borderId="3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7" fillId="6" borderId="30" xfId="0" applyFont="1" applyFill="1" applyBorder="1"/>
    <xf numFmtId="0" fontId="7" fillId="6" borderId="8" xfId="0" applyFont="1" applyFill="1" applyBorder="1"/>
    <xf numFmtId="0" fontId="0" fillId="6" borderId="8" xfId="0" applyFill="1" applyBorder="1"/>
    <xf numFmtId="0" fontId="0" fillId="6" borderId="9" xfId="0" applyFill="1" applyBorder="1"/>
    <xf numFmtId="0" fontId="7" fillId="0" borderId="3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2" fontId="0" fillId="0" borderId="43" xfId="0" applyNumberFormat="1" applyBorder="1" applyAlignment="1">
      <alignment horizontal="center"/>
    </xf>
    <xf numFmtId="0" fontId="0" fillId="10" borderId="53" xfId="0" applyFill="1" applyBorder="1" applyAlignment="1" applyProtection="1">
      <alignment horizontal="center"/>
      <protection locked="0"/>
    </xf>
    <xf numFmtId="0" fontId="0" fillId="7" borderId="53" xfId="0" applyFill="1" applyBorder="1" applyAlignment="1" applyProtection="1">
      <alignment horizontal="center"/>
      <protection locked="0"/>
    </xf>
    <xf numFmtId="3" fontId="0" fillId="0" borderId="10" xfId="1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3" borderId="5" xfId="0" applyFill="1" applyBorder="1" applyAlignment="1" applyProtection="1">
      <alignment horizontal="left" vertical="center"/>
    </xf>
    <xf numFmtId="0" fontId="0" fillId="11" borderId="5" xfId="0" applyFill="1" applyBorder="1" applyAlignment="1" applyProtection="1">
      <alignment horizontal="left" vertical="center"/>
    </xf>
    <xf numFmtId="3" fontId="0" fillId="11" borderId="15" xfId="1" applyNumberFormat="1" applyFont="1" applyFill="1" applyBorder="1" applyAlignment="1" applyProtection="1">
      <alignment horizontal="center" vertical="center"/>
    </xf>
    <xf numFmtId="0" fontId="0" fillId="12" borderId="24" xfId="0" applyFill="1" applyBorder="1" applyAlignment="1" applyProtection="1">
      <alignment horizontal="center"/>
      <protection locked="0"/>
    </xf>
    <xf numFmtId="0" fontId="0" fillId="12" borderId="16" xfId="0" applyFill="1" applyBorder="1" applyAlignment="1" applyProtection="1">
      <alignment horizontal="center"/>
      <protection locked="0"/>
    </xf>
    <xf numFmtId="0" fontId="0" fillId="12" borderId="18" xfId="0" applyFill="1" applyBorder="1" applyAlignment="1" applyProtection="1">
      <alignment horizontal="center"/>
      <protection locked="0"/>
    </xf>
    <xf numFmtId="0" fontId="0" fillId="12" borderId="53" xfId="0" applyFill="1" applyBorder="1" applyAlignment="1" applyProtection="1">
      <alignment horizontal="center"/>
      <protection locked="0"/>
    </xf>
    <xf numFmtId="0" fontId="0" fillId="6" borderId="5" xfId="0" applyFill="1" applyBorder="1" applyProtection="1"/>
    <xf numFmtId="0" fontId="0" fillId="6" borderId="0" xfId="0" applyFill="1" applyBorder="1" applyProtection="1"/>
    <xf numFmtId="0" fontId="0" fillId="6" borderId="6" xfId="0" applyFill="1" applyBorder="1" applyProtection="1"/>
    <xf numFmtId="0" fontId="0" fillId="0" borderId="0" xfId="0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10" fillId="6" borderId="2" xfId="2" applyFill="1" applyBorder="1" applyProtection="1"/>
    <xf numFmtId="0" fontId="2" fillId="0" borderId="16" xfId="0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11" borderId="16" xfId="0" applyFill="1" applyBorder="1" applyAlignment="1">
      <alignment horizontal="left"/>
    </xf>
    <xf numFmtId="0" fontId="0" fillId="11" borderId="16" xfId="0" applyFill="1" applyBorder="1"/>
    <xf numFmtId="2" fontId="0" fillId="11" borderId="16" xfId="0" applyNumberFormat="1" applyFill="1" applyBorder="1" applyAlignment="1">
      <alignment horizontal="right"/>
    </xf>
    <xf numFmtId="0" fontId="0" fillId="11" borderId="16" xfId="0" applyFill="1" applyBorder="1" applyAlignment="1">
      <alignment horizontal="right"/>
    </xf>
    <xf numFmtId="1" fontId="0" fillId="11" borderId="16" xfId="0" applyNumberFormat="1" applyFill="1" applyBorder="1" applyAlignment="1">
      <alignment horizontal="right"/>
    </xf>
    <xf numFmtId="1" fontId="0" fillId="0" borderId="0" xfId="0" applyNumberFormat="1"/>
    <xf numFmtId="0" fontId="2" fillId="0" borderId="16" xfId="0" applyFont="1" applyBorder="1"/>
    <xf numFmtId="2" fontId="2" fillId="0" borderId="16" xfId="0" applyNumberFormat="1" applyFont="1" applyBorder="1" applyAlignment="1">
      <alignment horizontal="center"/>
    </xf>
    <xf numFmtId="2" fontId="2" fillId="0" borderId="16" xfId="0" applyNumberFormat="1" applyFont="1" applyBorder="1"/>
    <xf numFmtId="0" fontId="0" fillId="0" borderId="16" xfId="0" applyBorder="1"/>
    <xf numFmtId="1" fontId="0" fillId="0" borderId="16" xfId="0" applyNumberFormat="1" applyBorder="1" applyAlignment="1">
      <alignment horizontal="right"/>
    </xf>
    <xf numFmtId="165" fontId="0" fillId="0" borderId="16" xfId="0" applyNumberFormat="1" applyBorder="1"/>
    <xf numFmtId="1" fontId="0" fillId="5" borderId="16" xfId="0" applyNumberFormat="1" applyFill="1" applyBorder="1"/>
    <xf numFmtId="0" fontId="0" fillId="13" borderId="16" xfId="0" applyFill="1" applyBorder="1"/>
    <xf numFmtId="1" fontId="0" fillId="0" borderId="16" xfId="0" applyNumberFormat="1" applyBorder="1"/>
    <xf numFmtId="0" fontId="0" fillId="14" borderId="16" xfId="0" applyFill="1" applyBorder="1" applyAlignment="1">
      <alignment horizontal="left"/>
    </xf>
    <xf numFmtId="0" fontId="0" fillId="14" borderId="16" xfId="0" applyFill="1" applyBorder="1"/>
    <xf numFmtId="2" fontId="0" fillId="14" borderId="16" xfId="0" applyNumberFormat="1" applyFill="1" applyBorder="1" applyAlignment="1">
      <alignment horizontal="right"/>
    </xf>
    <xf numFmtId="0" fontId="0" fillId="14" borderId="16" xfId="0" applyFill="1" applyBorder="1" applyAlignment="1">
      <alignment horizontal="right"/>
    </xf>
    <xf numFmtId="1" fontId="0" fillId="14" borderId="16" xfId="0" applyNumberFormat="1" applyFill="1" applyBorder="1" applyAlignment="1">
      <alignment horizontal="right"/>
    </xf>
    <xf numFmtId="14" fontId="0" fillId="0" borderId="16" xfId="0" applyNumberFormat="1" applyBorder="1"/>
    <xf numFmtId="0" fontId="0" fillId="0" borderId="16" xfId="0" applyBorder="1" applyAlignment="1">
      <alignment horizontal="right"/>
    </xf>
    <xf numFmtId="0" fontId="11" fillId="7" borderId="16" xfId="0" applyFont="1" applyFill="1" applyBorder="1" applyAlignment="1">
      <alignment vertical="center"/>
    </xf>
    <xf numFmtId="0" fontId="0" fillId="7" borderId="16" xfId="0" applyFill="1" applyBorder="1" applyAlignment="1">
      <alignment horizontal="left"/>
    </xf>
    <xf numFmtId="0" fontId="0" fillId="7" borderId="16" xfId="0" applyFill="1" applyBorder="1"/>
    <xf numFmtId="2" fontId="0" fillId="7" borderId="16" xfId="0" applyNumberFormat="1" applyFill="1" applyBorder="1" applyAlignment="1">
      <alignment horizontal="right"/>
    </xf>
    <xf numFmtId="0" fontId="0" fillId="7" borderId="16" xfId="0" applyFill="1" applyBorder="1" applyAlignment="1">
      <alignment horizontal="right"/>
    </xf>
    <xf numFmtId="1" fontId="0" fillId="7" borderId="16" xfId="0" applyNumberFormat="1" applyFill="1" applyBorder="1" applyAlignment="1">
      <alignment horizontal="right"/>
    </xf>
    <xf numFmtId="0" fontId="0" fillId="0" borderId="19" xfId="0" applyBorder="1"/>
    <xf numFmtId="165" fontId="0" fillId="0" borderId="19" xfId="0" applyNumberFormat="1" applyBorder="1"/>
    <xf numFmtId="1" fontId="0" fillId="5" borderId="19" xfId="0" applyNumberFormat="1" applyFill="1" applyBorder="1"/>
    <xf numFmtId="0" fontId="0" fillId="0" borderId="54" xfId="0" applyBorder="1"/>
    <xf numFmtId="165" fontId="0" fillId="0" borderId="54" xfId="0" applyNumberFormat="1" applyBorder="1"/>
    <xf numFmtId="1" fontId="0" fillId="5" borderId="54" xfId="0" applyNumberFormat="1" applyFill="1" applyBorder="1"/>
    <xf numFmtId="1" fontId="11" fillId="7" borderId="16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1" xfId="0" applyBorder="1" applyAlignment="1" applyProtection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6" fontId="0" fillId="0" borderId="5" xfId="0" applyNumberFormat="1" applyBorder="1" applyAlignment="1" applyProtection="1">
      <alignment horizontal="center" vertical="center"/>
    </xf>
    <xf numFmtId="166" fontId="0" fillId="3" borderId="5" xfId="0" applyNumberFormat="1" applyFill="1" applyBorder="1" applyAlignment="1" applyProtection="1">
      <alignment horizontal="center" vertical="center"/>
    </xf>
    <xf numFmtId="166" fontId="0" fillId="11" borderId="5" xfId="0" applyNumberForma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/>
    <xf numFmtId="0" fontId="2" fillId="0" borderId="0" xfId="0" applyFont="1"/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 wrapText="1"/>
    </xf>
    <xf numFmtId="37" fontId="1" fillId="0" borderId="16" xfId="1" applyNumberFormat="1" applyFont="1" applyBorder="1" applyAlignment="1">
      <alignment horizontal="center"/>
    </xf>
    <xf numFmtId="167" fontId="1" fillId="0" borderId="16" xfId="1" applyNumberFormat="1" applyFont="1" applyBorder="1" applyAlignment="1">
      <alignment horizontal="center"/>
    </xf>
    <xf numFmtId="168" fontId="1" fillId="0" borderId="0" xfId="1" applyNumberFormat="1" applyFont="1" applyAlignment="1">
      <alignment horizontal="center"/>
    </xf>
    <xf numFmtId="0" fontId="0" fillId="0" borderId="24" xfId="0" applyBorder="1"/>
    <xf numFmtId="37" fontId="1" fillId="0" borderId="53" xfId="1" applyNumberFormat="1" applyFont="1" applyBorder="1" applyAlignment="1">
      <alignment horizontal="center"/>
    </xf>
    <xf numFmtId="0" fontId="0" fillId="0" borderId="25" xfId="0" applyBorder="1"/>
    <xf numFmtId="37" fontId="1" fillId="0" borderId="26" xfId="1" applyNumberFormat="1" applyFont="1" applyBorder="1" applyAlignment="1">
      <alignment horizontal="center"/>
    </xf>
    <xf numFmtId="37" fontId="1" fillId="0" borderId="55" xfId="1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37" fontId="12" fillId="0" borderId="16" xfId="1" applyNumberFormat="1" applyFont="1" applyBorder="1" applyAlignment="1">
      <alignment horizontal="center"/>
    </xf>
    <xf numFmtId="37" fontId="12" fillId="0" borderId="26" xfId="1" applyNumberFormat="1" applyFont="1" applyBorder="1" applyAlignment="1">
      <alignment horizontal="center"/>
    </xf>
    <xf numFmtId="37" fontId="12" fillId="0" borderId="0" xfId="1" applyNumberFormat="1" applyFont="1" applyBorder="1" applyAlignment="1">
      <alignment horizontal="center"/>
    </xf>
    <xf numFmtId="37" fontId="12" fillId="0" borderId="53" xfId="1" applyNumberFormat="1" applyFont="1" applyBorder="1" applyAlignment="1">
      <alignment horizontal="center"/>
    </xf>
    <xf numFmtId="37" fontId="12" fillId="0" borderId="55" xfId="1" applyNumberFormat="1" applyFont="1" applyBorder="1" applyAlignment="1">
      <alignment horizontal="center"/>
    </xf>
    <xf numFmtId="0" fontId="12" fillId="0" borderId="16" xfId="0" applyFont="1" applyBorder="1"/>
    <xf numFmtId="1" fontId="12" fillId="0" borderId="16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" xfId="0" applyBorder="1"/>
    <xf numFmtId="0" fontId="0" fillId="0" borderId="32" xfId="0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12" fillId="0" borderId="56" xfId="0" applyFont="1" applyBorder="1" applyAlignment="1">
      <alignment horizontal="center" wrapText="1"/>
    </xf>
    <xf numFmtId="0" fontId="0" fillId="0" borderId="26" xfId="0" applyBorder="1"/>
    <xf numFmtId="0" fontId="0" fillId="0" borderId="56" xfId="0" applyBorder="1" applyAlignment="1">
      <alignment horizontal="center" wrapText="1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0" fillId="3" borderId="5" xfId="0" applyNumberFormat="1" applyFill="1" applyBorder="1" applyAlignment="1" applyProtection="1">
      <alignment horizontal="center" vertical="center"/>
    </xf>
    <xf numFmtId="165" fontId="0" fillId="11" borderId="5" xfId="0" applyNumberFormat="1" applyFill="1" applyBorder="1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166" fontId="0" fillId="0" borderId="1" xfId="0" applyNumberFormat="1" applyBorder="1" applyAlignment="1" applyProtection="1">
      <alignment horizontal="center" vertical="center"/>
    </xf>
    <xf numFmtId="166" fontId="0" fillId="0" borderId="14" xfId="0" applyNumberFormat="1" applyBorder="1" applyAlignment="1" applyProtection="1">
      <alignment horizontal="center" vertical="center"/>
    </xf>
    <xf numFmtId="3" fontId="0" fillId="0" borderId="5" xfId="0" applyNumberFormat="1" applyBorder="1" applyAlignment="1" applyProtection="1">
      <alignment horizontal="center" vertical="center"/>
    </xf>
    <xf numFmtId="3" fontId="0" fillId="3" borderId="5" xfId="0" applyNumberFormat="1" applyFill="1" applyBorder="1" applyAlignment="1" applyProtection="1">
      <alignment horizontal="center" vertical="center"/>
    </xf>
    <xf numFmtId="3" fontId="0" fillId="11" borderId="5" xfId="0" applyNumberForma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0" fillId="0" borderId="12" xfId="0" applyNumberFormat="1" applyFill="1" applyBorder="1" applyAlignment="1" applyProtection="1">
      <alignment horizontal="center" vertical="center"/>
    </xf>
    <xf numFmtId="165" fontId="0" fillId="0" borderId="1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horizontal="center" vertical="center"/>
    </xf>
    <xf numFmtId="39" fontId="0" fillId="4" borderId="2" xfId="1" applyNumberFormat="1" applyFont="1" applyFill="1" applyBorder="1" applyAlignment="1" applyProtection="1">
      <alignment horizontal="center" vertical="center"/>
    </xf>
    <xf numFmtId="39" fontId="0" fillId="4" borderId="1" xfId="1" applyNumberFormat="1" applyFont="1" applyFill="1" applyBorder="1" applyAlignment="1" applyProtection="1">
      <alignment horizontal="center" vertical="center"/>
    </xf>
    <xf numFmtId="0" fontId="0" fillId="0" borderId="15" xfId="0" applyBorder="1"/>
    <xf numFmtId="0" fontId="2" fillId="0" borderId="1" xfId="0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0" fillId="0" borderId="11" xfId="0" applyBorder="1" applyAlignment="1" applyProtection="1">
      <alignment horizontal="right" vertical="center"/>
    </xf>
    <xf numFmtId="0" fontId="6" fillId="6" borderId="7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8" fillId="8" borderId="11" xfId="0" applyFont="1" applyFill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6" borderId="0" xfId="0" applyFill="1"/>
    <xf numFmtId="0" fontId="0" fillId="0" borderId="10" xfId="0" applyBorder="1" applyAlignment="1" applyProtection="1">
      <alignment vertical="center" wrapText="1"/>
    </xf>
    <xf numFmtId="0" fontId="0" fillId="0" borderId="12" xfId="0" applyBorder="1" applyAlignment="1" applyProtection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9" fontId="5" fillId="6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5" fontId="0" fillId="0" borderId="5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65" fontId="0" fillId="3" borderId="5" xfId="0" applyNumberFormat="1" applyFill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0" fontId="0" fillId="11" borderId="5" xfId="0" applyFill="1" applyBorder="1" applyAlignment="1">
      <alignment horizontal="left" vertical="center"/>
    </xf>
    <xf numFmtId="165" fontId="0" fillId="11" borderId="5" xfId="0" applyNumberFormat="1" applyFill="1" applyBorder="1" applyAlignment="1">
      <alignment horizontal="center" vertical="center"/>
    </xf>
    <xf numFmtId="166" fontId="0" fillId="11" borderId="5" xfId="0" applyNumberFormat="1" applyFill="1" applyBorder="1" applyAlignment="1">
      <alignment horizontal="center" vertical="center"/>
    </xf>
    <xf numFmtId="0" fontId="0" fillId="6" borderId="5" xfId="0" applyFill="1" applyBorder="1"/>
    <xf numFmtId="0" fontId="0" fillId="6" borderId="7" xfId="0" applyFill="1" applyBorder="1"/>
    <xf numFmtId="0" fontId="2" fillId="7" borderId="11" xfId="0" applyFont="1" applyFill="1" applyBorder="1"/>
    <xf numFmtId="0" fontId="2" fillId="7" borderId="12" xfId="0" applyFont="1" applyFill="1" applyBorder="1"/>
    <xf numFmtId="0" fontId="2" fillId="7" borderId="13" xfId="0" applyFont="1" applyFill="1" applyBorder="1"/>
    <xf numFmtId="9" fontId="0" fillId="0" borderId="2" xfId="3" applyFont="1" applyBorder="1" applyAlignment="1" applyProtection="1">
      <alignment horizontal="center" vertical="center"/>
    </xf>
    <xf numFmtId="9" fontId="0" fillId="0" borderId="1" xfId="3" applyFont="1" applyBorder="1" applyAlignment="1" applyProtection="1">
      <alignment horizontal="center" vertical="center"/>
    </xf>
    <xf numFmtId="9" fontId="0" fillId="6" borderId="1" xfId="3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 wrapText="1"/>
    </xf>
    <xf numFmtId="3" fontId="0" fillId="0" borderId="14" xfId="0" applyNumberFormat="1" applyBorder="1" applyAlignment="1" applyProtection="1">
      <alignment horizontal="center" vertical="center"/>
    </xf>
    <xf numFmtId="3" fontId="0" fillId="3" borderId="15" xfId="0" applyNumberFormat="1" applyFill="1" applyBorder="1" applyAlignment="1" applyProtection="1">
      <alignment horizontal="center" vertical="center"/>
    </xf>
    <xf numFmtId="3" fontId="0" fillId="0" borderId="15" xfId="0" applyNumberFormat="1" applyBorder="1" applyAlignment="1" applyProtection="1">
      <alignment horizontal="center" vertical="center"/>
    </xf>
    <xf numFmtId="3" fontId="0" fillId="11" borderId="15" xfId="0" applyNumberFormat="1" applyFill="1" applyBorder="1" applyAlignment="1" applyProtection="1">
      <alignment horizontal="center" vertical="center"/>
    </xf>
    <xf numFmtId="0" fontId="13" fillId="6" borderId="15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/>
    </xf>
    <xf numFmtId="2" fontId="1" fillId="6" borderId="15" xfId="1" applyNumberFormat="1" applyFont="1" applyFill="1" applyBorder="1" applyAlignment="1" applyProtection="1">
      <alignment horizontal="center" vertical="center"/>
    </xf>
    <xf numFmtId="37" fontId="0" fillId="4" borderId="2" xfId="1" applyNumberFormat="1" applyFont="1" applyFill="1" applyBorder="1" applyAlignment="1" applyProtection="1">
      <alignment horizontal="center" vertical="center"/>
    </xf>
    <xf numFmtId="37" fontId="0" fillId="4" borderId="1" xfId="1" applyNumberFormat="1" applyFont="1" applyFill="1" applyBorder="1" applyAlignment="1" applyProtection="1">
      <alignment horizontal="center" vertical="center"/>
    </xf>
    <xf numFmtId="0" fontId="13" fillId="6" borderId="14" xfId="0" applyFont="1" applyFill="1" applyBorder="1" applyAlignment="1" applyProtection="1">
      <alignment horizontal="center" vertical="center"/>
    </xf>
    <xf numFmtId="2" fontId="5" fillId="6" borderId="15" xfId="1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13" fillId="0" borderId="14" xfId="0" applyFont="1" applyFill="1" applyBorder="1" applyAlignment="1" applyProtection="1">
      <alignment horizontal="center" vertical="center"/>
      <protection hidden="1"/>
    </xf>
    <xf numFmtId="2" fontId="5" fillId="0" borderId="15" xfId="1" applyNumberFormat="1" applyFont="1" applyFill="1" applyBorder="1" applyAlignment="1" applyProtection="1">
      <alignment horizontal="center" vertical="center"/>
      <protection locked="0" hidden="1"/>
    </xf>
    <xf numFmtId="0" fontId="13" fillId="0" borderId="15" xfId="0" applyFont="1" applyFill="1" applyBorder="1" applyAlignment="1" applyProtection="1">
      <alignment horizontal="center" vertical="center" wrapText="1"/>
      <protection hidden="1"/>
    </xf>
    <xf numFmtId="2" fontId="1" fillId="6" borderId="15" xfId="1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4" xfId="0" applyNumberForma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" fontId="0" fillId="4" borderId="1" xfId="0" applyNumberFormat="1" applyFill="1" applyBorder="1" applyAlignment="1" applyProtection="1">
      <alignment horizontal="center" vertical="center"/>
      <protection hidden="1"/>
    </xf>
    <xf numFmtId="166" fontId="0" fillId="0" borderId="5" xfId="0" applyNumberFormat="1" applyBorder="1" applyAlignment="1" applyProtection="1">
      <alignment horizontal="center" vertical="center"/>
      <protection hidden="1"/>
    </xf>
    <xf numFmtId="3" fontId="0" fillId="0" borderId="15" xfId="1" applyNumberFormat="1" applyFont="1" applyBorder="1" applyAlignment="1" applyProtection="1">
      <alignment horizontal="center" vertical="center"/>
      <protection hidden="1"/>
    </xf>
    <xf numFmtId="3" fontId="0" fillId="0" borderId="14" xfId="1" applyNumberFormat="1" applyFont="1" applyBorder="1" applyAlignment="1" applyProtection="1">
      <alignment horizontal="center" vertical="center"/>
      <protection hidden="1"/>
    </xf>
    <xf numFmtId="166" fontId="0" fillId="3" borderId="5" xfId="0" applyNumberFormat="1" applyFill="1" applyBorder="1" applyAlignment="1" applyProtection="1">
      <alignment horizontal="center" vertical="center"/>
      <protection hidden="1"/>
    </xf>
    <xf numFmtId="3" fontId="0" fillId="3" borderId="15" xfId="1" applyNumberFormat="1" applyFont="1" applyFill="1" applyBorder="1" applyAlignment="1" applyProtection="1">
      <alignment horizontal="center" vertical="center"/>
      <protection hidden="1"/>
    </xf>
    <xf numFmtId="166" fontId="0" fillId="11" borderId="5" xfId="0" applyNumberFormat="1" applyFill="1" applyBorder="1" applyAlignment="1" applyProtection="1">
      <alignment horizontal="center" vertical="center"/>
      <protection hidden="1"/>
    </xf>
    <xf numFmtId="3" fontId="0" fillId="11" borderId="15" xfId="1" applyNumberFormat="1" applyFont="1" applyFill="1" applyBorder="1" applyAlignment="1" applyProtection="1">
      <alignment horizontal="center" vertical="center"/>
      <protection hidden="1"/>
    </xf>
    <xf numFmtId="3" fontId="0" fillId="0" borderId="10" xfId="1" applyNumberFormat="1" applyFont="1" applyBorder="1" applyAlignment="1" applyProtection="1">
      <alignment horizontal="center" vertical="center"/>
      <protection hidden="1"/>
    </xf>
    <xf numFmtId="165" fontId="0" fillId="0" borderId="0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/>
    </xf>
    <xf numFmtId="165" fontId="0" fillId="0" borderId="2" xfId="0" applyNumberFormat="1" applyBorder="1" applyAlignment="1" applyProtection="1">
      <alignment horizontal="center" vertical="center"/>
    </xf>
    <xf numFmtId="166" fontId="0" fillId="0" borderId="2" xfId="0" applyNumberForma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 vertical="center"/>
    </xf>
    <xf numFmtId="165" fontId="0" fillId="0" borderId="7" xfId="0" applyNumberFormat="1" applyBorder="1" applyAlignment="1" applyProtection="1">
      <alignment horizontal="center" vertical="center"/>
    </xf>
    <xf numFmtId="166" fontId="0" fillId="0" borderId="7" xfId="0" applyNumberFormat="1" applyBorder="1" applyAlignment="1" applyProtection="1">
      <alignment horizontal="center" vertical="center"/>
      <protection hidden="1"/>
    </xf>
    <xf numFmtId="166" fontId="0" fillId="0" borderId="15" xfId="0" applyNumberFormat="1" applyBorder="1" applyAlignment="1" applyProtection="1">
      <alignment horizontal="center" vertical="center"/>
      <protection hidden="1"/>
    </xf>
    <xf numFmtId="165" fontId="0" fillId="14" borderId="3" xfId="0" applyNumberFormat="1" applyFill="1" applyBorder="1" applyAlignment="1" applyProtection="1">
      <alignment horizontal="center" vertical="center"/>
    </xf>
    <xf numFmtId="166" fontId="0" fillId="14" borderId="14" xfId="0" applyNumberFormat="1" applyFill="1" applyBorder="1" applyAlignment="1" applyProtection="1">
      <alignment horizontal="center" vertical="center"/>
      <protection hidden="1"/>
    </xf>
    <xf numFmtId="0" fontId="10" fillId="6" borderId="5" xfId="2" applyFill="1" applyBorder="1" applyProtection="1"/>
    <xf numFmtId="165" fontId="0" fillId="14" borderId="0" xfId="0" applyNumberFormat="1" applyFill="1" applyBorder="1" applyAlignment="1" applyProtection="1">
      <alignment horizontal="center" vertical="center"/>
    </xf>
    <xf numFmtId="0" fontId="0" fillId="14" borderId="14" xfId="0" applyFill="1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14" borderId="15" xfId="0" applyFill="1" applyBorder="1" applyAlignment="1" applyProtection="1">
      <alignment horizontal="left" vertical="center"/>
    </xf>
    <xf numFmtId="0" fontId="0" fillId="14" borderId="10" xfId="0" applyFill="1" applyBorder="1" applyAlignment="1" applyProtection="1">
      <alignment horizontal="left" vertical="center"/>
    </xf>
    <xf numFmtId="0" fontId="0" fillId="10" borderId="31" xfId="0" applyFill="1" applyBorder="1" applyAlignment="1" applyProtection="1">
      <alignment horizontal="center"/>
      <protection locked="0"/>
    </xf>
    <xf numFmtId="0" fontId="0" fillId="10" borderId="32" xfId="0" applyFill="1" applyBorder="1" applyAlignment="1" applyProtection="1">
      <alignment horizontal="center"/>
      <protection locked="0"/>
    </xf>
    <xf numFmtId="0" fontId="0" fillId="10" borderId="34" xfId="0" applyFill="1" applyBorder="1" applyAlignment="1" applyProtection="1">
      <alignment horizontal="center"/>
      <protection locked="0"/>
    </xf>
    <xf numFmtId="0" fontId="0" fillId="10" borderId="56" xfId="0" applyFill="1" applyBorder="1" applyAlignment="1" applyProtection="1">
      <alignment horizontal="center"/>
      <protection locked="0"/>
    </xf>
    <xf numFmtId="0" fontId="0" fillId="10" borderId="25" xfId="0" applyFill="1" applyBorder="1" applyAlignment="1" applyProtection="1">
      <alignment horizontal="center"/>
      <protection locked="0"/>
    </xf>
    <xf numFmtId="0" fontId="0" fillId="10" borderId="26" xfId="0" applyFill="1" applyBorder="1" applyAlignment="1" applyProtection="1">
      <alignment horizontal="center"/>
      <protection locked="0"/>
    </xf>
    <xf numFmtId="0" fontId="0" fillId="10" borderId="51" xfId="0" applyFill="1" applyBorder="1" applyAlignment="1" applyProtection="1">
      <alignment horizontal="center"/>
      <protection locked="0"/>
    </xf>
    <xf numFmtId="0" fontId="0" fillId="10" borderId="55" xfId="0" applyFill="1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center" vertical="center"/>
    </xf>
    <xf numFmtId="165" fontId="0" fillId="14" borderId="8" xfId="0" applyNumberFormat="1" applyFill="1" applyBorder="1" applyAlignment="1" applyProtection="1">
      <alignment horizontal="center" vertical="center"/>
    </xf>
    <xf numFmtId="2" fontId="0" fillId="0" borderId="59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0" fontId="0" fillId="10" borderId="35" xfId="0" applyFill="1" applyBorder="1" applyAlignment="1" applyProtection="1">
      <alignment horizontal="center"/>
      <protection locked="0"/>
    </xf>
    <xf numFmtId="0" fontId="0" fillId="10" borderId="19" xfId="0" applyFill="1" applyBorder="1" applyAlignment="1" applyProtection="1">
      <alignment horizontal="center"/>
      <protection locked="0"/>
    </xf>
    <xf numFmtId="0" fontId="0" fillId="10" borderId="20" xfId="0" applyFill="1" applyBorder="1" applyAlignment="1" applyProtection="1">
      <alignment horizontal="center"/>
      <protection locked="0"/>
    </xf>
    <xf numFmtId="0" fontId="0" fillId="10" borderId="57" xfId="0" applyFill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 vertical="center"/>
    </xf>
    <xf numFmtId="3" fontId="0" fillId="0" borderId="2" xfId="0" applyNumberFormat="1" applyBorder="1" applyAlignment="1" applyProtection="1">
      <alignment horizontal="center" vertical="center"/>
    </xf>
    <xf numFmtId="166" fontId="0" fillId="0" borderId="7" xfId="0" applyNumberFormat="1" applyBorder="1" applyAlignment="1" applyProtection="1">
      <alignment horizontal="center" vertical="center"/>
    </xf>
    <xf numFmtId="0" fontId="0" fillId="7" borderId="31" xfId="0" applyFill="1" applyBorder="1" applyAlignment="1" applyProtection="1">
      <alignment horizontal="center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56" xfId="0" applyFill="1" applyBorder="1" applyAlignment="1" applyProtection="1">
      <alignment horizontal="center"/>
      <protection locked="0"/>
    </xf>
    <xf numFmtId="0" fontId="0" fillId="7" borderId="25" xfId="0" applyFill="1" applyBorder="1" applyAlignment="1" applyProtection="1">
      <alignment horizontal="center"/>
      <protection locked="0"/>
    </xf>
    <xf numFmtId="0" fontId="0" fillId="7" borderId="26" xfId="0" applyFill="1" applyBorder="1" applyAlignment="1" applyProtection="1">
      <alignment horizontal="center"/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0" fillId="7" borderId="55" xfId="0" applyFill="1" applyBorder="1" applyAlignment="1" applyProtection="1">
      <alignment horizontal="center"/>
      <protection locked="0"/>
    </xf>
    <xf numFmtId="166" fontId="0" fillId="14" borderId="15" xfId="0" applyNumberFormat="1" applyFill="1" applyBorder="1" applyAlignment="1" applyProtection="1">
      <alignment horizontal="center" vertical="center"/>
    </xf>
    <xf numFmtId="166" fontId="0" fillId="0" borderId="15" xfId="0" applyNumberFormat="1" applyBorder="1" applyAlignment="1" applyProtection="1">
      <alignment horizontal="center" vertical="center"/>
    </xf>
    <xf numFmtId="166" fontId="0" fillId="14" borderId="10" xfId="0" applyNumberFormat="1" applyFill="1" applyBorder="1" applyAlignment="1" applyProtection="1">
      <alignment horizontal="center" vertical="center"/>
    </xf>
    <xf numFmtId="3" fontId="0" fillId="14" borderId="3" xfId="0" applyNumberFormat="1" applyFill="1" applyBorder="1" applyAlignment="1" applyProtection="1">
      <alignment horizontal="center" vertical="center"/>
    </xf>
    <xf numFmtId="3" fontId="0" fillId="14" borderId="0" xfId="0" applyNumberFormat="1" applyFill="1" applyBorder="1" applyAlignment="1" applyProtection="1">
      <alignment horizontal="center" vertical="center"/>
    </xf>
    <xf numFmtId="3" fontId="0" fillId="14" borderId="8" xfId="0" applyNumberFormat="1" applyFill="1" applyBorder="1" applyAlignment="1" applyProtection="1">
      <alignment horizontal="center" vertical="center"/>
    </xf>
    <xf numFmtId="3" fontId="0" fillId="14" borderId="14" xfId="0" applyNumberFormat="1" applyFill="1" applyBorder="1" applyAlignment="1" applyProtection="1">
      <alignment horizontal="center" vertical="center"/>
    </xf>
    <xf numFmtId="3" fontId="0" fillId="14" borderId="15" xfId="0" applyNumberFormat="1" applyFill="1" applyBorder="1" applyAlignment="1" applyProtection="1">
      <alignment horizontal="center" vertical="center"/>
    </xf>
    <xf numFmtId="3" fontId="0" fillId="14" borderId="10" xfId="0" applyNumberFormat="1" applyFill="1" applyBorder="1" applyAlignment="1" applyProtection="1">
      <alignment horizontal="center" vertical="center"/>
    </xf>
    <xf numFmtId="0" fontId="0" fillId="10" borderId="23" xfId="0" applyFill="1" applyBorder="1" applyAlignment="1" applyProtection="1">
      <alignment horizontal="center"/>
      <protection locked="0"/>
    </xf>
    <xf numFmtId="0" fontId="0" fillId="10" borderId="17" xfId="0" applyFill="1" applyBorder="1" applyAlignment="1" applyProtection="1">
      <alignment horizontal="center"/>
      <protection locked="0"/>
    </xf>
    <xf numFmtId="0" fontId="0" fillId="10" borderId="27" xfId="0" applyFill="1" applyBorder="1" applyAlignment="1" applyProtection="1">
      <alignment horizontal="center"/>
      <protection locked="0"/>
    </xf>
    <xf numFmtId="0" fontId="0" fillId="10" borderId="58" xfId="0" applyFill="1" applyBorder="1" applyAlignment="1" applyProtection="1">
      <alignment horizontal="center"/>
      <protection locked="0"/>
    </xf>
    <xf numFmtId="2" fontId="0" fillId="0" borderId="60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165" fontId="0" fillId="14" borderId="14" xfId="0" applyNumberFormat="1" applyFill="1" applyBorder="1" applyAlignment="1" applyProtection="1">
      <alignment horizontal="center" vertical="center"/>
      <protection hidden="1"/>
    </xf>
    <xf numFmtId="165" fontId="0" fillId="0" borderId="15" xfId="0" applyNumberFormat="1" applyBorder="1" applyAlignment="1" applyProtection="1">
      <alignment horizontal="center" vertical="center"/>
      <protection hidden="1"/>
    </xf>
    <xf numFmtId="165" fontId="0" fillId="14" borderId="15" xfId="0" applyNumberFormat="1" applyFill="1" applyBorder="1" applyAlignment="1" applyProtection="1">
      <alignment horizontal="center" vertical="center"/>
    </xf>
    <xf numFmtId="165" fontId="0" fillId="0" borderId="15" xfId="0" applyNumberFormat="1" applyBorder="1" applyAlignment="1" applyProtection="1">
      <alignment horizontal="center" vertical="center"/>
    </xf>
    <xf numFmtId="165" fontId="0" fillId="14" borderId="10" xfId="0" applyNumberFormat="1" applyFill="1" applyBorder="1" applyAlignment="1" applyProtection="1">
      <alignment horizontal="center" vertical="center"/>
    </xf>
    <xf numFmtId="2" fontId="5" fillId="6" borderId="9" xfId="0" applyNumberFormat="1" applyFont="1" applyFill="1" applyBorder="1" applyAlignment="1" applyProtection="1">
      <alignment horizontal="center"/>
      <protection hidden="1"/>
    </xf>
    <xf numFmtId="37" fontId="0" fillId="6" borderId="2" xfId="1" applyNumberFormat="1" applyFont="1" applyFill="1" applyBorder="1" applyAlignment="1" applyProtection="1">
      <alignment horizontal="center" vertical="center"/>
      <protection hidden="1"/>
    </xf>
    <xf numFmtId="37" fontId="0" fillId="6" borderId="1" xfId="1" applyNumberFormat="1" applyFont="1" applyFill="1" applyBorder="1" applyAlignment="1" applyProtection="1">
      <alignment horizontal="center" vertical="center"/>
      <protection hidden="1"/>
    </xf>
    <xf numFmtId="37" fontId="0" fillId="6" borderId="3" xfId="1" applyNumberFormat="1" applyFont="1" applyFill="1" applyBorder="1" applyAlignment="1" applyProtection="1">
      <alignment horizontal="center" vertical="center"/>
      <protection hidden="1"/>
    </xf>
    <xf numFmtId="37" fontId="0" fillId="6" borderId="4" xfId="1" applyNumberFormat="1" applyFont="1" applyFill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13" fillId="0" borderId="11" xfId="0" applyFont="1" applyBorder="1" applyAlignment="1" applyProtection="1">
      <alignment horizontal="right"/>
      <protection hidden="1"/>
    </xf>
    <xf numFmtId="0" fontId="13" fillId="0" borderId="12" xfId="0" applyFont="1" applyBorder="1" applyAlignment="1" applyProtection="1">
      <alignment horizontal="right"/>
      <protection hidden="1"/>
    </xf>
    <xf numFmtId="0" fontId="13" fillId="0" borderId="13" xfId="0" applyFont="1" applyBorder="1" applyAlignment="1" applyProtection="1">
      <alignment horizontal="right"/>
      <protection hidden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0" fillId="0" borderId="12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6" fillId="6" borderId="2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0" fillId="6" borderId="12" xfId="0" applyFill="1" applyBorder="1" applyAlignment="1" applyProtection="1">
      <alignment horizontal="right" vertical="center"/>
    </xf>
    <xf numFmtId="0" fontId="0" fillId="6" borderId="13" xfId="0" applyFill="1" applyBorder="1" applyAlignment="1" applyProtection="1">
      <alignment horizontal="right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8" fillId="8" borderId="11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2" fontId="7" fillId="0" borderId="38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2" fontId="7" fillId="0" borderId="49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3" fillId="6" borderId="11" xfId="0" applyFont="1" applyFill="1" applyBorder="1" applyAlignment="1" applyProtection="1">
      <alignment horizontal="right"/>
      <protection hidden="1"/>
    </xf>
    <xf numFmtId="0" fontId="13" fillId="6" borderId="12" xfId="0" applyFont="1" applyFill="1" applyBorder="1" applyAlignment="1" applyProtection="1">
      <alignment horizontal="right"/>
      <protection hidden="1"/>
    </xf>
    <xf numFmtId="0" fontId="13" fillId="6" borderId="13" xfId="0" applyFont="1" applyFill="1" applyBorder="1" applyAlignment="1" applyProtection="1">
      <alignment horizontal="right"/>
      <protection hidden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right" vertical="center"/>
    </xf>
    <xf numFmtId="0" fontId="6" fillId="6" borderId="0" xfId="0" applyFont="1" applyFill="1" applyBorder="1" applyAlignment="1">
      <alignment horizontal="left" vertical="top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200025</xdr:colOff>
      <xdr:row>1</xdr:row>
      <xdr:rowOff>95250</xdr:rowOff>
    </xdr:from>
    <xdr:to>
      <xdr:col>28</xdr:col>
      <xdr:colOff>390525</xdr:colOff>
      <xdr:row>18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52F0CB4-89A0-4EAD-8DF4-C2B7EF81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0" y="285750"/>
          <a:ext cx="32385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219075</xdr:colOff>
      <xdr:row>18</xdr:row>
      <xdr:rowOff>76200</xdr:rowOff>
    </xdr:from>
    <xdr:to>
      <xdr:col>29</xdr:col>
      <xdr:colOff>285750</xdr:colOff>
      <xdr:row>30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E38321-2E32-41C3-ABF2-3AD467D3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3524250"/>
          <a:ext cx="37242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425481</xdr:colOff>
      <xdr:row>1</xdr:row>
      <xdr:rowOff>171449</xdr:rowOff>
    </xdr:from>
    <xdr:to>
      <xdr:col>33</xdr:col>
      <xdr:colOff>371475</xdr:colOff>
      <xdr:row>30</xdr:row>
      <xdr:rowOff>51823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D1E52C79-6AB3-4EE4-9B48-0CBA699C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4556" y="361949"/>
          <a:ext cx="2384394" cy="542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331470</xdr:colOff>
      <xdr:row>1</xdr:row>
      <xdr:rowOff>116205</xdr:rowOff>
    </xdr:from>
    <xdr:to>
      <xdr:col>13</xdr:col>
      <xdr:colOff>9518</xdr:colOff>
      <xdr:row>1</xdr:row>
      <xdr:rowOff>116205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656493F-14EE-4AA3-9017-8AA7CF7A2D9A}"/>
            </a:ext>
          </a:extLst>
        </xdr:cNvPr>
        <xdr:cNvCxnSpPr/>
      </xdr:nvCxnSpPr>
      <xdr:spPr>
        <a:xfrm>
          <a:off x="7941945" y="878205"/>
          <a:ext cx="1335398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76201</xdr:colOff>
      <xdr:row>17</xdr:row>
      <xdr:rowOff>142875</xdr:rowOff>
    </xdr:from>
    <xdr:to>
      <xdr:col>13</xdr:col>
      <xdr:colOff>1285875</xdr:colOff>
      <xdr:row>22</xdr:row>
      <xdr:rowOff>533400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35F4A69-C465-4C5B-8FDB-A20E5B668688}"/>
            </a:ext>
          </a:extLst>
        </xdr:cNvPr>
        <xdr:cNvCxnSpPr/>
      </xdr:nvCxnSpPr>
      <xdr:spPr>
        <a:xfrm flipH="1">
          <a:off x="10115551" y="4333875"/>
          <a:ext cx="1209674" cy="13525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66675</xdr:colOff>
      <xdr:row>18</xdr:row>
      <xdr:rowOff>9525</xdr:rowOff>
    </xdr:from>
    <xdr:to>
      <xdr:col>1</xdr:col>
      <xdr:colOff>1247775</xdr:colOff>
      <xdr:row>20</xdr:row>
      <xdr:rowOff>152400</xdr:rowOff>
    </xdr:to>
    <xdr:pic>
      <xdr:nvPicPr>
        <xdr:cNvPr id="4" name="Picture 71" descr="Puregas Logo">
          <a:extLst>
            <a:ext uri="{FF2B5EF4-FFF2-40B4-BE49-F238E27FC236}">
              <a16:creationId xmlns:a16="http://schemas.microsoft.com/office/drawing/2014/main" id="{16005210-DD56-4401-93A1-22EC1EA0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391025"/>
          <a:ext cx="11811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35DC-1707-4936-BC75-9DE057DF310C}">
  <dimension ref="B1:S97"/>
  <sheetViews>
    <sheetView showGridLines="0" showRowColHeaders="0" tabSelected="1" zoomScaleNormal="100" workbookViewId="0">
      <selection activeCell="K14" sqref="K14"/>
    </sheetView>
  </sheetViews>
  <sheetFormatPr defaultRowHeight="15" x14ac:dyDescent="0.25"/>
  <cols>
    <col min="1" max="1" width="5.140625" customWidth="1"/>
    <col min="2" max="2" width="24.28515625" customWidth="1"/>
    <col min="3" max="3" width="11.5703125" hidden="1" customWidth="1"/>
    <col min="4" max="4" width="18.42578125" customWidth="1"/>
    <col min="5" max="6" width="14.42578125" bestFit="1" customWidth="1"/>
    <col min="7" max="9" width="15.42578125" bestFit="1" customWidth="1"/>
    <col min="10" max="10" width="2.42578125" customWidth="1"/>
    <col min="11" max="14" width="12.140625" customWidth="1"/>
    <col min="15" max="15" width="14.5703125" customWidth="1"/>
    <col min="16" max="17" width="9.140625" hidden="1" customWidth="1"/>
  </cols>
  <sheetData>
    <row r="1" spans="2:18" ht="15.75" thickBot="1" x14ac:dyDescent="0.3"/>
    <row r="2" spans="2:18" ht="15.75" thickBot="1" x14ac:dyDescent="0.3">
      <c r="B2" s="271" t="s">
        <v>248</v>
      </c>
      <c r="C2" s="371" t="s">
        <v>2</v>
      </c>
      <c r="D2" s="372"/>
      <c r="E2" s="83" t="s">
        <v>186</v>
      </c>
      <c r="F2" s="25" t="s">
        <v>187</v>
      </c>
      <c r="G2" s="25" t="s">
        <v>188</v>
      </c>
      <c r="H2" s="25" t="s">
        <v>189</v>
      </c>
      <c r="I2" s="26" t="s">
        <v>190</v>
      </c>
      <c r="K2" s="376" t="s">
        <v>244</v>
      </c>
      <c r="L2" s="377"/>
      <c r="M2" s="377"/>
      <c r="N2" s="377"/>
      <c r="O2" s="378"/>
    </row>
    <row r="3" spans="2:18" ht="15.75" customHeight="1" thickBot="1" x14ac:dyDescent="0.3">
      <c r="B3" s="279" t="s">
        <v>239</v>
      </c>
      <c r="C3" s="382" t="s">
        <v>8</v>
      </c>
      <c r="D3" s="383"/>
      <c r="E3" s="284">
        <f>E4/1440</f>
        <v>0.1388888888888889</v>
      </c>
      <c r="F3" s="285">
        <f>F4/1440</f>
        <v>0.38194444444444442</v>
      </c>
      <c r="G3" s="284">
        <f>G4/1440</f>
        <v>1.0416666666666667</v>
      </c>
      <c r="H3" s="286">
        <f>H4/1440</f>
        <v>2.9166666666666665</v>
      </c>
      <c r="I3" s="285">
        <f>I4/1440</f>
        <v>5.833333333333333</v>
      </c>
      <c r="J3" s="224"/>
      <c r="K3" s="384" t="s">
        <v>249</v>
      </c>
      <c r="L3" s="385"/>
      <c r="M3" s="385"/>
      <c r="N3" s="385"/>
      <c r="O3" s="386"/>
      <c r="P3" s="224"/>
      <c r="Q3" s="224"/>
      <c r="R3" s="224"/>
    </row>
    <row r="4" spans="2:18" ht="15.75" customHeight="1" thickBot="1" x14ac:dyDescent="0.3">
      <c r="B4" s="280">
        <v>11.25</v>
      </c>
      <c r="C4" s="382" t="s">
        <v>3</v>
      </c>
      <c r="D4" s="383"/>
      <c r="E4" s="287">
        <v>200</v>
      </c>
      <c r="F4" s="288">
        <v>550</v>
      </c>
      <c r="G4" s="287">
        <v>1500</v>
      </c>
      <c r="H4" s="289">
        <v>4200</v>
      </c>
      <c r="I4" s="290">
        <v>8400</v>
      </c>
      <c r="K4" s="387"/>
      <c r="L4" s="388"/>
      <c r="M4" s="388"/>
      <c r="N4" s="388"/>
      <c r="O4" s="389"/>
    </row>
    <row r="5" spans="2:18" ht="15.75" thickBot="1" x14ac:dyDescent="0.3">
      <c r="B5" s="281" t="s">
        <v>236</v>
      </c>
      <c r="C5" s="382" t="s">
        <v>4</v>
      </c>
      <c r="D5" s="382"/>
      <c r="E5" s="291">
        <f>($B$4*60*14.7*E3)/($B$6+14.7)</f>
        <v>69.955583756345177</v>
      </c>
      <c r="F5" s="291">
        <f>($B$4*60*14.7*F3)/($B$6+14.7)</f>
        <v>192.37785532994923</v>
      </c>
      <c r="G5" s="291">
        <f>($B$4*60*14.7*G3)/($B$6+14.7)</f>
        <v>524.66687817258889</v>
      </c>
      <c r="H5" s="291">
        <f>($B$4*60*14.7*H3)/($B$6+14.7)</f>
        <v>1469.0672588832488</v>
      </c>
      <c r="I5" s="291">
        <f>($B$4*60*14.7*I3)/($B$6+14.7)</f>
        <v>2938.1345177664975</v>
      </c>
      <c r="K5" s="387"/>
      <c r="L5" s="388"/>
      <c r="M5" s="388"/>
      <c r="N5" s="388"/>
      <c r="O5" s="389"/>
    </row>
    <row r="6" spans="2:18" ht="15.75" thickBot="1" x14ac:dyDescent="0.3">
      <c r="B6" s="280">
        <v>5</v>
      </c>
      <c r="C6" s="393" t="s">
        <v>5</v>
      </c>
      <c r="D6" s="394"/>
      <c r="E6" s="367">
        <f>E5*12*12*12</f>
        <v>120883.24873096446</v>
      </c>
      <c r="F6" s="368">
        <f>F5*12*12*12</f>
        <v>332428.9340101523</v>
      </c>
      <c r="G6" s="369">
        <f>G5*12*12*12</f>
        <v>906624.3654822337</v>
      </c>
      <c r="H6" s="368">
        <f>H5*12*12*12</f>
        <v>2538548.2233502539</v>
      </c>
      <c r="I6" s="370">
        <f>I5*12*12*12</f>
        <v>5077096.4467005078</v>
      </c>
      <c r="K6" s="387"/>
      <c r="L6" s="388"/>
      <c r="M6" s="388"/>
      <c r="N6" s="388"/>
      <c r="O6" s="389"/>
    </row>
    <row r="7" spans="2:18" ht="15.75" hidden="1" customHeight="1" thickBot="1" x14ac:dyDescent="0.3">
      <c r="B7" s="282"/>
      <c r="C7" s="277"/>
      <c r="D7" s="278" t="s">
        <v>238</v>
      </c>
      <c r="E7" s="261">
        <f>E5/E4</f>
        <v>0.34977791878172587</v>
      </c>
      <c r="F7" s="261">
        <f>F5/F4</f>
        <v>0.34977791878172587</v>
      </c>
      <c r="G7" s="261">
        <f>G5/G4</f>
        <v>0.34977791878172593</v>
      </c>
      <c r="H7" s="261">
        <f>H5/H4</f>
        <v>0.34977791878172587</v>
      </c>
      <c r="I7" s="262">
        <f>I5/I4</f>
        <v>0.34977791878172587</v>
      </c>
      <c r="K7" s="390"/>
      <c r="L7" s="391"/>
      <c r="M7" s="391"/>
      <c r="N7" s="391"/>
      <c r="O7" s="392"/>
    </row>
    <row r="8" spans="2:18" ht="30.75" thickBot="1" x14ac:dyDescent="0.3">
      <c r="B8" s="283"/>
      <c r="C8" s="270" t="s">
        <v>140</v>
      </c>
      <c r="D8" s="143" t="s">
        <v>139</v>
      </c>
      <c r="E8" s="395" t="s">
        <v>54</v>
      </c>
      <c r="F8" s="396"/>
      <c r="G8" s="397"/>
      <c r="H8" s="397"/>
      <c r="I8" s="398"/>
      <c r="K8" s="184" t="s">
        <v>59</v>
      </c>
      <c r="L8" s="185" t="s">
        <v>58</v>
      </c>
      <c r="M8" s="185" t="s">
        <v>57</v>
      </c>
      <c r="N8" s="186" t="s">
        <v>56</v>
      </c>
      <c r="O8" s="187" t="s">
        <v>55</v>
      </c>
    </row>
    <row r="9" spans="2:18" x14ac:dyDescent="0.25">
      <c r="B9" s="301" t="s">
        <v>62</v>
      </c>
      <c r="C9" s="302">
        <f t="shared" ref="C9:C28" si="0">Q9</f>
        <v>0.45929882866467109</v>
      </c>
      <c r="D9" s="303">
        <f t="shared" ref="D9:D28" si="1">(C9^2)*3.14/4/12/12</f>
        <v>1.1500000000000004E-3</v>
      </c>
      <c r="E9" s="294">
        <f>INT(E$5/$D9)</f>
        <v>60830</v>
      </c>
      <c r="F9" s="294">
        <f>INT(F$5/$D9)</f>
        <v>167285</v>
      </c>
      <c r="G9" s="294">
        <f>INT(G$5/$D9)</f>
        <v>456232</v>
      </c>
      <c r="H9" s="294">
        <f>INT(H$5/$D9)</f>
        <v>1277449</v>
      </c>
      <c r="I9" s="294">
        <f>INT(I$5/$D9)</f>
        <v>2554899</v>
      </c>
      <c r="K9" s="44"/>
      <c r="L9" s="45"/>
      <c r="M9" s="46"/>
      <c r="N9" s="86"/>
      <c r="O9" s="84">
        <f t="shared" ref="O9:O46" si="2">(SUM(K9:N9))*$D9</f>
        <v>0</v>
      </c>
      <c r="P9">
        <v>1.15E-3</v>
      </c>
      <c r="Q9">
        <f t="shared" ref="Q9:Q28" si="3">SQRT(P9*4/3.14)*12</f>
        <v>0.45929882866467109</v>
      </c>
    </row>
    <row r="10" spans="2:18" x14ac:dyDescent="0.25">
      <c r="B10" s="89" t="s">
        <v>63</v>
      </c>
      <c r="C10" s="188">
        <f t="shared" si="0"/>
        <v>0.51395803937873974</v>
      </c>
      <c r="D10" s="295">
        <f t="shared" si="1"/>
        <v>1.4400000000000001E-3</v>
      </c>
      <c r="E10" s="296">
        <f t="shared" ref="E10:I28" si="4">INT(E$5/$D10)</f>
        <v>48580</v>
      </c>
      <c r="F10" s="296">
        <f t="shared" si="4"/>
        <v>133595</v>
      </c>
      <c r="G10" s="296">
        <f t="shared" si="4"/>
        <v>364351</v>
      </c>
      <c r="H10" s="296">
        <f t="shared" si="4"/>
        <v>1020185</v>
      </c>
      <c r="I10" s="296">
        <f t="shared" si="4"/>
        <v>2040371</v>
      </c>
      <c r="K10" s="52"/>
      <c r="L10" s="53"/>
      <c r="M10" s="54"/>
      <c r="N10" s="85"/>
      <c r="O10" s="84">
        <f t="shared" si="2"/>
        <v>0</v>
      </c>
      <c r="P10">
        <v>1.4400000000000001E-3</v>
      </c>
      <c r="Q10">
        <f t="shared" si="3"/>
        <v>0.51395803937873974</v>
      </c>
    </row>
    <row r="11" spans="2:18" x14ac:dyDescent="0.25">
      <c r="B11" s="88" t="s">
        <v>64</v>
      </c>
      <c r="C11" s="56">
        <f t="shared" si="0"/>
        <v>0.70636776116463507</v>
      </c>
      <c r="D11" s="292">
        <f t="shared" si="1"/>
        <v>2.7200000000000006E-3</v>
      </c>
      <c r="E11" s="293">
        <f t="shared" si="4"/>
        <v>25718</v>
      </c>
      <c r="F11" s="293">
        <f t="shared" si="4"/>
        <v>70727</v>
      </c>
      <c r="G11" s="293">
        <f t="shared" si="4"/>
        <v>192892</v>
      </c>
      <c r="H11" s="293">
        <f t="shared" si="4"/>
        <v>540098</v>
      </c>
      <c r="I11" s="293">
        <f t="shared" si="4"/>
        <v>1080196</v>
      </c>
      <c r="K11" s="44"/>
      <c r="L11" s="45"/>
      <c r="M11" s="46"/>
      <c r="N11" s="86"/>
      <c r="O11" s="84">
        <f t="shared" si="2"/>
        <v>0</v>
      </c>
      <c r="P11">
        <v>2.7200000000000002E-3</v>
      </c>
      <c r="Q11">
        <f t="shared" si="3"/>
        <v>0.70636776116463507</v>
      </c>
    </row>
    <row r="12" spans="2:18" x14ac:dyDescent="0.25">
      <c r="B12" s="89" t="s">
        <v>65</v>
      </c>
      <c r="C12" s="188">
        <f t="shared" si="0"/>
        <v>0.93933165018782683</v>
      </c>
      <c r="D12" s="295">
        <f t="shared" si="1"/>
        <v>4.8099999999999992E-3</v>
      </c>
      <c r="E12" s="296">
        <f t="shared" si="4"/>
        <v>14543</v>
      </c>
      <c r="F12" s="296">
        <f t="shared" si="4"/>
        <v>39995</v>
      </c>
      <c r="G12" s="296">
        <f t="shared" si="4"/>
        <v>109078</v>
      </c>
      <c r="H12" s="296">
        <f t="shared" si="4"/>
        <v>305419</v>
      </c>
      <c r="I12" s="296">
        <f t="shared" si="4"/>
        <v>610838</v>
      </c>
      <c r="K12" s="52"/>
      <c r="L12" s="53"/>
      <c r="M12" s="54"/>
      <c r="N12" s="85"/>
      <c r="O12" s="84">
        <f t="shared" si="2"/>
        <v>0</v>
      </c>
      <c r="P12">
        <v>4.81E-3</v>
      </c>
      <c r="Q12">
        <f t="shared" si="3"/>
        <v>0.93933165018782683</v>
      </c>
    </row>
    <row r="13" spans="2:18" x14ac:dyDescent="0.25">
      <c r="B13" s="88" t="s">
        <v>66</v>
      </c>
      <c r="C13" s="56">
        <f t="shared" si="0"/>
        <v>1.2189585196434967</v>
      </c>
      <c r="D13" s="292">
        <f t="shared" si="1"/>
        <v>8.1000000000000013E-3</v>
      </c>
      <c r="E13" s="293">
        <f t="shared" si="4"/>
        <v>8636</v>
      </c>
      <c r="F13" s="293">
        <f t="shared" si="4"/>
        <v>23750</v>
      </c>
      <c r="G13" s="293">
        <f t="shared" si="4"/>
        <v>64773</v>
      </c>
      <c r="H13" s="293">
        <f t="shared" si="4"/>
        <v>181366</v>
      </c>
      <c r="I13" s="293">
        <f t="shared" si="4"/>
        <v>362732</v>
      </c>
      <c r="K13" s="44"/>
      <c r="L13" s="45"/>
      <c r="M13" s="46"/>
      <c r="N13" s="86"/>
      <c r="O13" s="84">
        <f t="shared" si="2"/>
        <v>0</v>
      </c>
      <c r="P13">
        <v>8.0999999999999996E-3</v>
      </c>
      <c r="Q13">
        <f t="shared" si="3"/>
        <v>1.2189585196434967</v>
      </c>
    </row>
    <row r="14" spans="2:18" x14ac:dyDescent="0.25">
      <c r="B14" s="89" t="s">
        <v>67</v>
      </c>
      <c r="C14" s="188">
        <f t="shared" si="0"/>
        <v>1.6807641574195478</v>
      </c>
      <c r="D14" s="295">
        <f t="shared" si="1"/>
        <v>1.5400000000000004E-2</v>
      </c>
      <c r="E14" s="296">
        <f t="shared" si="4"/>
        <v>4542</v>
      </c>
      <c r="F14" s="296">
        <f t="shared" si="4"/>
        <v>12492</v>
      </c>
      <c r="G14" s="296">
        <f t="shared" si="4"/>
        <v>34069</v>
      </c>
      <c r="H14" s="296">
        <f t="shared" si="4"/>
        <v>95393</v>
      </c>
      <c r="I14" s="296">
        <f t="shared" si="4"/>
        <v>190787</v>
      </c>
      <c r="K14" s="52"/>
      <c r="L14" s="53"/>
      <c r="M14" s="54"/>
      <c r="N14" s="85"/>
      <c r="O14" s="84">
        <f t="shared" si="2"/>
        <v>0</v>
      </c>
      <c r="P14">
        <v>1.54E-2</v>
      </c>
      <c r="Q14">
        <f t="shared" si="3"/>
        <v>1.6807641574195478</v>
      </c>
    </row>
    <row r="15" spans="2:18" x14ac:dyDescent="0.25">
      <c r="B15" s="88" t="s">
        <v>68</v>
      </c>
      <c r="C15" s="56">
        <f t="shared" si="0"/>
        <v>2.0406068786321927</v>
      </c>
      <c r="D15" s="292">
        <f t="shared" si="1"/>
        <v>2.2700000000000008E-2</v>
      </c>
      <c r="E15" s="293">
        <f t="shared" si="4"/>
        <v>3081</v>
      </c>
      <c r="F15" s="293">
        <f t="shared" si="4"/>
        <v>8474</v>
      </c>
      <c r="G15" s="293">
        <f t="shared" si="4"/>
        <v>23113</v>
      </c>
      <c r="H15" s="293">
        <f t="shared" si="4"/>
        <v>64716</v>
      </c>
      <c r="I15" s="293">
        <f t="shared" si="4"/>
        <v>129433</v>
      </c>
      <c r="K15" s="44"/>
      <c r="L15" s="45"/>
      <c r="M15" s="46"/>
      <c r="N15" s="86"/>
      <c r="O15" s="84">
        <f t="shared" si="2"/>
        <v>0</v>
      </c>
      <c r="P15">
        <v>2.2700000000000001E-2</v>
      </c>
      <c r="Q15">
        <f t="shared" si="3"/>
        <v>2.0406068786321927</v>
      </c>
    </row>
    <row r="16" spans="2:18" x14ac:dyDescent="0.25">
      <c r="B16" s="89" t="s">
        <v>70</v>
      </c>
      <c r="C16" s="188">
        <f t="shared" si="0"/>
        <v>2.6087554687132717</v>
      </c>
      <c r="D16" s="295">
        <f t="shared" si="1"/>
        <v>3.7100000000000008E-2</v>
      </c>
      <c r="E16" s="296">
        <f t="shared" si="4"/>
        <v>1885</v>
      </c>
      <c r="F16" s="296">
        <f t="shared" si="4"/>
        <v>5185</v>
      </c>
      <c r="G16" s="296">
        <f t="shared" si="4"/>
        <v>14141</v>
      </c>
      <c r="H16" s="296">
        <f t="shared" si="4"/>
        <v>39597</v>
      </c>
      <c r="I16" s="296">
        <f t="shared" si="4"/>
        <v>79195</v>
      </c>
      <c r="K16" s="52"/>
      <c r="L16" s="53"/>
      <c r="M16" s="54"/>
      <c r="N16" s="85"/>
      <c r="O16" s="84">
        <f t="shared" si="2"/>
        <v>0</v>
      </c>
      <c r="P16">
        <v>3.7100000000000001E-2</v>
      </c>
      <c r="Q16">
        <f t="shared" si="3"/>
        <v>2.6087554687132717</v>
      </c>
    </row>
    <row r="17" spans="2:19" x14ac:dyDescent="0.25">
      <c r="B17" s="88" t="s">
        <v>71</v>
      </c>
      <c r="C17" s="56">
        <f t="shared" si="0"/>
        <v>3.0766016490612444</v>
      </c>
      <c r="D17" s="292">
        <f t="shared" si="1"/>
        <v>5.1599999999999986E-2</v>
      </c>
      <c r="E17" s="293">
        <f t="shared" si="4"/>
        <v>1355</v>
      </c>
      <c r="F17" s="293">
        <f t="shared" si="4"/>
        <v>3728</v>
      </c>
      <c r="G17" s="293">
        <f t="shared" si="4"/>
        <v>10167</v>
      </c>
      <c r="H17" s="293">
        <f t="shared" si="4"/>
        <v>28470</v>
      </c>
      <c r="I17" s="293">
        <f t="shared" si="4"/>
        <v>56940</v>
      </c>
      <c r="K17" s="44"/>
      <c r="L17" s="45"/>
      <c r="M17" s="46"/>
      <c r="N17" s="86"/>
      <c r="O17" s="84">
        <f t="shared" si="2"/>
        <v>0</v>
      </c>
      <c r="P17">
        <v>5.16E-2</v>
      </c>
      <c r="Q17">
        <f t="shared" si="3"/>
        <v>3.0766016490612444</v>
      </c>
    </row>
    <row r="18" spans="2:19" x14ac:dyDescent="0.25">
      <c r="B18" s="89" t="s">
        <v>72</v>
      </c>
      <c r="C18" s="188">
        <f t="shared" si="0"/>
        <v>3.9230821108418881</v>
      </c>
      <c r="D18" s="295">
        <f t="shared" si="1"/>
        <v>8.3900000000000016E-2</v>
      </c>
      <c r="E18" s="296">
        <f t="shared" si="4"/>
        <v>833</v>
      </c>
      <c r="F18" s="296">
        <f t="shared" si="4"/>
        <v>2292</v>
      </c>
      <c r="G18" s="296">
        <f t="shared" si="4"/>
        <v>6253</v>
      </c>
      <c r="H18" s="296">
        <f t="shared" si="4"/>
        <v>17509</v>
      </c>
      <c r="I18" s="296">
        <f t="shared" si="4"/>
        <v>35019</v>
      </c>
      <c r="K18" s="52"/>
      <c r="L18" s="53"/>
      <c r="M18" s="54"/>
      <c r="N18" s="85"/>
      <c r="O18" s="84">
        <f t="shared" si="2"/>
        <v>0</v>
      </c>
      <c r="P18">
        <v>8.3900000000000002E-2</v>
      </c>
      <c r="Q18">
        <f t="shared" si="3"/>
        <v>3.9230821108418881</v>
      </c>
    </row>
    <row r="19" spans="2:19" x14ac:dyDescent="0.25">
      <c r="B19" s="88" t="s">
        <v>73</v>
      </c>
      <c r="C19" s="56">
        <f t="shared" si="0"/>
        <v>5.0313665819068145</v>
      </c>
      <c r="D19" s="292">
        <f t="shared" si="1"/>
        <v>0.13799999999999998</v>
      </c>
      <c r="E19" s="293">
        <f t="shared" si="4"/>
        <v>506</v>
      </c>
      <c r="F19" s="293">
        <f t="shared" si="4"/>
        <v>1394</v>
      </c>
      <c r="G19" s="293">
        <f t="shared" si="4"/>
        <v>3801</v>
      </c>
      <c r="H19" s="293">
        <f t="shared" si="4"/>
        <v>10645</v>
      </c>
      <c r="I19" s="293">
        <f t="shared" si="4"/>
        <v>21290</v>
      </c>
      <c r="K19" s="44"/>
      <c r="L19" s="45"/>
      <c r="M19" s="46"/>
      <c r="N19" s="86"/>
      <c r="O19" s="84">
        <f t="shared" si="2"/>
        <v>0</v>
      </c>
      <c r="P19">
        <v>0.13800000000000001</v>
      </c>
      <c r="Q19">
        <f t="shared" si="3"/>
        <v>5.0313665819068145</v>
      </c>
    </row>
    <row r="20" spans="2:19" x14ac:dyDescent="0.25">
      <c r="B20" s="89" t="s">
        <v>74</v>
      </c>
      <c r="C20" s="188">
        <f t="shared" si="0"/>
        <v>5.8097217009111732</v>
      </c>
      <c r="D20" s="295">
        <f t="shared" si="1"/>
        <v>0.18400000000000002</v>
      </c>
      <c r="E20" s="296">
        <f t="shared" si="4"/>
        <v>380</v>
      </c>
      <c r="F20" s="296">
        <f t="shared" si="4"/>
        <v>1045</v>
      </c>
      <c r="G20" s="296">
        <f t="shared" si="4"/>
        <v>2851</v>
      </c>
      <c r="H20" s="296">
        <f t="shared" si="4"/>
        <v>7984</v>
      </c>
      <c r="I20" s="296">
        <f t="shared" si="4"/>
        <v>15968</v>
      </c>
      <c r="K20" s="52"/>
      <c r="L20" s="53"/>
      <c r="M20" s="54"/>
      <c r="N20" s="85"/>
      <c r="O20" s="84">
        <f t="shared" si="2"/>
        <v>0</v>
      </c>
      <c r="P20">
        <v>0.184</v>
      </c>
      <c r="Q20">
        <f t="shared" si="3"/>
        <v>5.8097217009111732</v>
      </c>
    </row>
    <row r="21" spans="2:19" x14ac:dyDescent="0.25">
      <c r="B21" s="88" t="s">
        <v>75</v>
      </c>
      <c r="C21" s="56">
        <f t="shared" si="0"/>
        <v>7.7212586017374436</v>
      </c>
      <c r="D21" s="292">
        <f t="shared" si="1"/>
        <v>0.32500000000000001</v>
      </c>
      <c r="E21" s="293">
        <f t="shared" si="4"/>
        <v>215</v>
      </c>
      <c r="F21" s="293">
        <f t="shared" si="4"/>
        <v>591</v>
      </c>
      <c r="G21" s="293">
        <f t="shared" si="4"/>
        <v>1614</v>
      </c>
      <c r="H21" s="293">
        <f t="shared" si="4"/>
        <v>4520</v>
      </c>
      <c r="I21" s="293">
        <f t="shared" si="4"/>
        <v>9040</v>
      </c>
      <c r="K21" s="44"/>
      <c r="L21" s="45"/>
      <c r="M21" s="46"/>
      <c r="N21" s="86"/>
      <c r="O21" s="84">
        <f t="shared" si="2"/>
        <v>0</v>
      </c>
      <c r="P21">
        <v>0.32500000000000001</v>
      </c>
      <c r="Q21">
        <f t="shared" si="3"/>
        <v>7.7212586017374436</v>
      </c>
    </row>
    <row r="22" spans="2:19" ht="15.75" thickBot="1" x14ac:dyDescent="0.3">
      <c r="B22" s="89" t="s">
        <v>76</v>
      </c>
      <c r="C22" s="188">
        <f t="shared" si="0"/>
        <v>8.9020143716246309</v>
      </c>
      <c r="D22" s="295">
        <f t="shared" si="1"/>
        <v>0.43200000000000011</v>
      </c>
      <c r="E22" s="296">
        <f t="shared" si="4"/>
        <v>161</v>
      </c>
      <c r="F22" s="296">
        <f t="shared" si="4"/>
        <v>445</v>
      </c>
      <c r="G22" s="296">
        <f t="shared" si="4"/>
        <v>1214</v>
      </c>
      <c r="H22" s="296">
        <f t="shared" si="4"/>
        <v>3400</v>
      </c>
      <c r="I22" s="296">
        <f t="shared" si="4"/>
        <v>6801</v>
      </c>
      <c r="K22" s="329"/>
      <c r="L22" s="330"/>
      <c r="M22" s="331"/>
      <c r="N22" s="332"/>
      <c r="O22" s="326">
        <f t="shared" si="2"/>
        <v>0</v>
      </c>
      <c r="P22">
        <v>0.432</v>
      </c>
      <c r="Q22">
        <f t="shared" si="3"/>
        <v>8.9020143716246309</v>
      </c>
    </row>
    <row r="23" spans="2:19" x14ac:dyDescent="0.25">
      <c r="B23" s="301" t="s">
        <v>60</v>
      </c>
      <c r="C23" s="302">
        <f t="shared" si="0"/>
        <v>1.3745642042452424</v>
      </c>
      <c r="D23" s="303">
        <f t="shared" si="1"/>
        <v>1.0299999999999998E-2</v>
      </c>
      <c r="E23" s="294">
        <f t="shared" si="4"/>
        <v>6791</v>
      </c>
      <c r="F23" s="294">
        <f t="shared" si="4"/>
        <v>18677</v>
      </c>
      <c r="G23" s="294">
        <f t="shared" si="4"/>
        <v>50938</v>
      </c>
      <c r="H23" s="294">
        <f t="shared" si="4"/>
        <v>142627</v>
      </c>
      <c r="I23" s="294">
        <f t="shared" si="4"/>
        <v>285255</v>
      </c>
      <c r="K23" s="336"/>
      <c r="L23" s="337"/>
      <c r="M23" s="338"/>
      <c r="N23" s="339"/>
      <c r="O23" s="358">
        <f t="shared" si="2"/>
        <v>0</v>
      </c>
      <c r="P23">
        <v>1.03E-2</v>
      </c>
      <c r="Q23">
        <f t="shared" si="3"/>
        <v>1.3745642042452424</v>
      </c>
    </row>
    <row r="24" spans="2:19" x14ac:dyDescent="0.25">
      <c r="B24" s="90" t="s">
        <v>9</v>
      </c>
      <c r="C24" s="189">
        <f t="shared" si="0"/>
        <v>2.7256741116753718</v>
      </c>
      <c r="D24" s="297">
        <f t="shared" si="1"/>
        <v>4.0500000000000015E-2</v>
      </c>
      <c r="E24" s="298">
        <f t="shared" si="4"/>
        <v>1727</v>
      </c>
      <c r="F24" s="298">
        <f t="shared" si="4"/>
        <v>4750</v>
      </c>
      <c r="G24" s="298">
        <f t="shared" si="4"/>
        <v>12954</v>
      </c>
      <c r="H24" s="298">
        <f t="shared" si="4"/>
        <v>36273</v>
      </c>
      <c r="I24" s="298">
        <f t="shared" si="4"/>
        <v>72546</v>
      </c>
      <c r="K24" s="52"/>
      <c r="L24" s="53"/>
      <c r="M24" s="54"/>
      <c r="N24" s="85"/>
      <c r="O24" s="359">
        <f t="shared" si="2"/>
        <v>0</v>
      </c>
      <c r="P24">
        <v>4.0500000000000001E-2</v>
      </c>
      <c r="Q24">
        <f t="shared" si="3"/>
        <v>2.7256741116753718</v>
      </c>
    </row>
    <row r="25" spans="2:19" x14ac:dyDescent="0.25">
      <c r="B25" s="88" t="s">
        <v>7</v>
      </c>
      <c r="C25" s="56">
        <f t="shared" si="0"/>
        <v>3.5447997257308352</v>
      </c>
      <c r="D25" s="292">
        <f t="shared" si="1"/>
        <v>6.8500000000000033E-2</v>
      </c>
      <c r="E25" s="293">
        <f t="shared" si="4"/>
        <v>1021</v>
      </c>
      <c r="F25" s="293">
        <f t="shared" si="4"/>
        <v>2808</v>
      </c>
      <c r="G25" s="293">
        <f t="shared" si="4"/>
        <v>7659</v>
      </c>
      <c r="H25" s="293">
        <f t="shared" si="4"/>
        <v>21446</v>
      </c>
      <c r="I25" s="293">
        <f t="shared" si="4"/>
        <v>42892</v>
      </c>
      <c r="K25" s="44"/>
      <c r="L25" s="45"/>
      <c r="M25" s="46"/>
      <c r="N25" s="86"/>
      <c r="O25" s="359">
        <f t="shared" si="2"/>
        <v>0</v>
      </c>
      <c r="P25">
        <v>6.8500000000000005E-2</v>
      </c>
      <c r="Q25">
        <f t="shared" si="3"/>
        <v>3.5447997257308352</v>
      </c>
    </row>
    <row r="26" spans="2:19" x14ac:dyDescent="0.25">
      <c r="B26" s="90" t="s">
        <v>0</v>
      </c>
      <c r="C26" s="189">
        <f t="shared" si="0"/>
        <v>5.3836269828477032</v>
      </c>
      <c r="D26" s="297">
        <f t="shared" si="1"/>
        <v>0.158</v>
      </c>
      <c r="E26" s="298">
        <f t="shared" si="4"/>
        <v>442</v>
      </c>
      <c r="F26" s="298">
        <f t="shared" si="4"/>
        <v>1217</v>
      </c>
      <c r="G26" s="298">
        <f t="shared" si="4"/>
        <v>3320</v>
      </c>
      <c r="H26" s="298">
        <f t="shared" si="4"/>
        <v>9297</v>
      </c>
      <c r="I26" s="298">
        <f t="shared" si="4"/>
        <v>18595</v>
      </c>
      <c r="K26" s="52"/>
      <c r="L26" s="53"/>
      <c r="M26" s="54"/>
      <c r="N26" s="85"/>
      <c r="O26" s="359">
        <f t="shared" si="2"/>
        <v>0</v>
      </c>
      <c r="P26">
        <v>0.158</v>
      </c>
      <c r="Q26">
        <f t="shared" si="3"/>
        <v>5.3836269828477032</v>
      </c>
    </row>
    <row r="27" spans="2:19" x14ac:dyDescent="0.25">
      <c r="B27" s="88" t="s">
        <v>6</v>
      </c>
      <c r="C27" s="56">
        <f t="shared" si="0"/>
        <v>6.7039298295280254</v>
      </c>
      <c r="D27" s="292">
        <f t="shared" si="1"/>
        <v>0.24499999999999997</v>
      </c>
      <c r="E27" s="293">
        <f t="shared" si="4"/>
        <v>285</v>
      </c>
      <c r="F27" s="293">
        <f t="shared" si="4"/>
        <v>785</v>
      </c>
      <c r="G27" s="293">
        <f t="shared" si="4"/>
        <v>2141</v>
      </c>
      <c r="H27" s="293">
        <f t="shared" si="4"/>
        <v>5996</v>
      </c>
      <c r="I27" s="293">
        <f t="shared" si="4"/>
        <v>11992</v>
      </c>
      <c r="K27" s="44"/>
      <c r="L27" s="45"/>
      <c r="M27" s="46"/>
      <c r="N27" s="86"/>
      <c r="O27" s="359">
        <f t="shared" si="2"/>
        <v>0</v>
      </c>
      <c r="P27">
        <v>0.245</v>
      </c>
      <c r="Q27">
        <f t="shared" si="3"/>
        <v>6.7039298295280254</v>
      </c>
    </row>
    <row r="28" spans="2:19" x14ac:dyDescent="0.25">
      <c r="B28" s="90" t="s">
        <v>1</v>
      </c>
      <c r="C28" s="189">
        <f t="shared" si="0"/>
        <v>7.6616340908891729</v>
      </c>
      <c r="D28" s="297">
        <f t="shared" si="1"/>
        <v>0.32</v>
      </c>
      <c r="E28" s="298">
        <f t="shared" si="4"/>
        <v>218</v>
      </c>
      <c r="F28" s="298">
        <f t="shared" si="4"/>
        <v>601</v>
      </c>
      <c r="G28" s="298">
        <f t="shared" si="4"/>
        <v>1639</v>
      </c>
      <c r="H28" s="298">
        <f t="shared" si="4"/>
        <v>4590</v>
      </c>
      <c r="I28" s="298">
        <f t="shared" si="4"/>
        <v>9181</v>
      </c>
      <c r="K28" s="52"/>
      <c r="L28" s="53"/>
      <c r="M28" s="54"/>
      <c r="N28" s="85"/>
      <c r="O28" s="359">
        <f t="shared" si="2"/>
        <v>0</v>
      </c>
      <c r="P28">
        <v>0.32</v>
      </c>
      <c r="Q28">
        <f t="shared" si="3"/>
        <v>7.6616340908891729</v>
      </c>
      <c r="S28" t="s">
        <v>191</v>
      </c>
    </row>
    <row r="29" spans="2:19" ht="15.75" thickBot="1" x14ac:dyDescent="0.3">
      <c r="B29" s="304" t="s">
        <v>77</v>
      </c>
      <c r="C29" s="305">
        <f>Q29</f>
        <v>8.1037853858315998</v>
      </c>
      <c r="D29" s="306">
        <f>(C29^2)*3.14/4/12/12</f>
        <v>0.35799999999999987</v>
      </c>
      <c r="E29" s="299">
        <f t="shared" ref="E29:I30" si="5">INT(E$5/$D29)</f>
        <v>195</v>
      </c>
      <c r="F29" s="299">
        <f t="shared" si="5"/>
        <v>537</v>
      </c>
      <c r="G29" s="299">
        <f t="shared" si="5"/>
        <v>1465</v>
      </c>
      <c r="H29" s="299">
        <f t="shared" si="5"/>
        <v>4103</v>
      </c>
      <c r="I29" s="299">
        <f t="shared" si="5"/>
        <v>8207</v>
      </c>
      <c r="K29" s="340"/>
      <c r="L29" s="341"/>
      <c r="M29" s="342"/>
      <c r="N29" s="343"/>
      <c r="O29" s="360">
        <f t="shared" si="2"/>
        <v>0</v>
      </c>
      <c r="P29">
        <v>0.35799999999999998</v>
      </c>
      <c r="Q29">
        <f>SQRT(P29*4/3.14)*12</f>
        <v>8.1037853858315998</v>
      </c>
    </row>
    <row r="30" spans="2:19" x14ac:dyDescent="0.25">
      <c r="B30" s="314" t="s">
        <v>250</v>
      </c>
      <c r="C30" s="311"/>
      <c r="D30" s="309">
        <v>4.5746574999999998E-2</v>
      </c>
      <c r="E30" s="347">
        <f t="shared" si="5"/>
        <v>1529</v>
      </c>
      <c r="F30" s="350">
        <f t="shared" si="5"/>
        <v>4205</v>
      </c>
      <c r="G30" s="347">
        <f t="shared" si="5"/>
        <v>11468</v>
      </c>
      <c r="H30" s="350">
        <f t="shared" si="5"/>
        <v>32113</v>
      </c>
      <c r="I30" s="350">
        <f t="shared" si="5"/>
        <v>64226</v>
      </c>
      <c r="K30" s="353"/>
      <c r="L30" s="354"/>
      <c r="M30" s="355"/>
      <c r="N30" s="356"/>
      <c r="O30" s="357">
        <f t="shared" si="2"/>
        <v>0</v>
      </c>
      <c r="P30">
        <v>4.5746574999999998E-2</v>
      </c>
    </row>
    <row r="31" spans="2:19" x14ac:dyDescent="0.25">
      <c r="B31" s="313" t="s">
        <v>251</v>
      </c>
      <c r="C31" s="300"/>
      <c r="D31" s="307">
        <v>2.5187525999999998E-2</v>
      </c>
      <c r="E31" s="324">
        <f t="shared" ref="E31:I46" si="6">INT(E$5/$D31)</f>
        <v>2777</v>
      </c>
      <c r="F31" s="267">
        <f t="shared" si="6"/>
        <v>7637</v>
      </c>
      <c r="G31" s="324">
        <f t="shared" si="6"/>
        <v>20830</v>
      </c>
      <c r="H31" s="267">
        <f t="shared" si="6"/>
        <v>58325</v>
      </c>
      <c r="I31" s="267">
        <f t="shared" si="6"/>
        <v>116650</v>
      </c>
      <c r="K31" s="44"/>
      <c r="L31" s="45"/>
      <c r="M31" s="46"/>
      <c r="N31" s="86"/>
      <c r="O31" s="84">
        <f t="shared" si="2"/>
        <v>0</v>
      </c>
      <c r="P31">
        <v>2.5187525999999998E-2</v>
      </c>
    </row>
    <row r="32" spans="2:19" x14ac:dyDescent="0.25">
      <c r="B32" s="314" t="s">
        <v>252</v>
      </c>
      <c r="C32" s="311"/>
      <c r="D32" s="344">
        <v>1.7006962E-2</v>
      </c>
      <c r="E32" s="348">
        <f t="shared" si="6"/>
        <v>4113</v>
      </c>
      <c r="F32" s="351">
        <f t="shared" si="6"/>
        <v>11311</v>
      </c>
      <c r="G32" s="348">
        <f t="shared" si="6"/>
        <v>30850</v>
      </c>
      <c r="H32" s="351">
        <f t="shared" si="6"/>
        <v>86380</v>
      </c>
      <c r="I32" s="351">
        <f t="shared" si="6"/>
        <v>172760</v>
      </c>
      <c r="K32" s="52"/>
      <c r="L32" s="53"/>
      <c r="M32" s="54"/>
      <c r="N32" s="85"/>
      <c r="O32" s="84">
        <f t="shared" si="2"/>
        <v>0</v>
      </c>
      <c r="P32">
        <v>1.7006962E-2</v>
      </c>
    </row>
    <row r="33" spans="2:16" x14ac:dyDescent="0.25">
      <c r="B33" s="313" t="s">
        <v>253</v>
      </c>
      <c r="C33" s="300"/>
      <c r="D33" s="345">
        <v>1.8083352E-2</v>
      </c>
      <c r="E33" s="324">
        <f t="shared" si="6"/>
        <v>3868</v>
      </c>
      <c r="F33" s="267">
        <f t="shared" si="6"/>
        <v>10638</v>
      </c>
      <c r="G33" s="324">
        <f t="shared" si="6"/>
        <v>29013</v>
      </c>
      <c r="H33" s="267">
        <f t="shared" si="6"/>
        <v>81238</v>
      </c>
      <c r="I33" s="267">
        <f t="shared" si="6"/>
        <v>162477</v>
      </c>
      <c r="K33" s="44"/>
      <c r="L33" s="45"/>
      <c r="M33" s="46"/>
      <c r="N33" s="86"/>
      <c r="O33" s="84">
        <f t="shared" si="2"/>
        <v>0</v>
      </c>
      <c r="P33">
        <v>1.8083352E-2</v>
      </c>
    </row>
    <row r="34" spans="2:16" x14ac:dyDescent="0.25">
      <c r="B34" s="314" t="s">
        <v>254</v>
      </c>
      <c r="C34" s="311"/>
      <c r="D34" s="344">
        <v>1.1625012000000001E-2</v>
      </c>
      <c r="E34" s="348">
        <f t="shared" si="6"/>
        <v>6017</v>
      </c>
      <c r="F34" s="351">
        <f t="shared" si="6"/>
        <v>16548</v>
      </c>
      <c r="G34" s="348">
        <f t="shared" si="6"/>
        <v>45132</v>
      </c>
      <c r="H34" s="351">
        <f t="shared" si="6"/>
        <v>126371</v>
      </c>
      <c r="I34" s="351">
        <f t="shared" si="6"/>
        <v>252742</v>
      </c>
      <c r="K34" s="52"/>
      <c r="L34" s="53"/>
      <c r="M34" s="54"/>
      <c r="N34" s="85"/>
      <c r="O34" s="84">
        <f t="shared" si="2"/>
        <v>0</v>
      </c>
      <c r="P34">
        <v>1.1625012000000001E-2</v>
      </c>
    </row>
    <row r="35" spans="2:16" x14ac:dyDescent="0.25">
      <c r="B35" s="313" t="s">
        <v>255</v>
      </c>
      <c r="C35" s="300"/>
      <c r="D35" s="345">
        <v>1.0979178000000001E-2</v>
      </c>
      <c r="E35" s="324">
        <f t="shared" si="6"/>
        <v>6371</v>
      </c>
      <c r="F35" s="267">
        <f t="shared" si="6"/>
        <v>17522</v>
      </c>
      <c r="G35" s="324">
        <f t="shared" si="6"/>
        <v>47787</v>
      </c>
      <c r="H35" s="267">
        <f t="shared" si="6"/>
        <v>133804</v>
      </c>
      <c r="I35" s="267">
        <f t="shared" si="6"/>
        <v>267609</v>
      </c>
      <c r="K35" s="44"/>
      <c r="L35" s="45"/>
      <c r="M35" s="46"/>
      <c r="N35" s="86"/>
      <c r="O35" s="84">
        <f t="shared" si="2"/>
        <v>0</v>
      </c>
      <c r="P35">
        <v>1.0979178000000001E-2</v>
      </c>
    </row>
    <row r="36" spans="2:16" x14ac:dyDescent="0.25">
      <c r="B36" s="314" t="s">
        <v>256</v>
      </c>
      <c r="C36" s="311"/>
      <c r="D36" s="344">
        <v>8.9340369999999988E-3</v>
      </c>
      <c r="E36" s="348">
        <f t="shared" si="6"/>
        <v>7830</v>
      </c>
      <c r="F36" s="351">
        <f t="shared" si="6"/>
        <v>21533</v>
      </c>
      <c r="G36" s="348">
        <f t="shared" si="6"/>
        <v>58726</v>
      </c>
      <c r="H36" s="351">
        <f t="shared" si="6"/>
        <v>164434</v>
      </c>
      <c r="I36" s="351">
        <f t="shared" si="6"/>
        <v>328869</v>
      </c>
      <c r="K36" s="52"/>
      <c r="L36" s="53"/>
      <c r="M36" s="54"/>
      <c r="N36" s="85"/>
      <c r="O36" s="84">
        <f t="shared" si="2"/>
        <v>0</v>
      </c>
      <c r="P36">
        <v>8.9340369999999988E-3</v>
      </c>
    </row>
    <row r="37" spans="2:16" x14ac:dyDescent="0.25">
      <c r="B37" s="313" t="s">
        <v>257</v>
      </c>
      <c r="C37" s="300"/>
      <c r="D37" s="345">
        <v>7.7500079999999992E-3</v>
      </c>
      <c r="E37" s="324">
        <f t="shared" si="6"/>
        <v>9026</v>
      </c>
      <c r="F37" s="267">
        <f t="shared" si="6"/>
        <v>24822</v>
      </c>
      <c r="G37" s="324">
        <f t="shared" si="6"/>
        <v>67698</v>
      </c>
      <c r="H37" s="267">
        <f t="shared" si="6"/>
        <v>189556</v>
      </c>
      <c r="I37" s="267">
        <f t="shared" si="6"/>
        <v>379113</v>
      </c>
      <c r="K37" s="44"/>
      <c r="L37" s="45"/>
      <c r="M37" s="46"/>
      <c r="N37" s="86"/>
      <c r="O37" s="84">
        <f t="shared" si="2"/>
        <v>0</v>
      </c>
      <c r="P37">
        <v>7.7500079999999992E-3</v>
      </c>
    </row>
    <row r="38" spans="2:16" x14ac:dyDescent="0.25">
      <c r="B38" s="314" t="s">
        <v>258</v>
      </c>
      <c r="C38" s="311"/>
      <c r="D38" s="344">
        <v>6.4583399999999999E-3</v>
      </c>
      <c r="E38" s="348">
        <f t="shared" si="6"/>
        <v>10831</v>
      </c>
      <c r="F38" s="351">
        <f t="shared" si="6"/>
        <v>29787</v>
      </c>
      <c r="G38" s="348">
        <f t="shared" si="6"/>
        <v>81238</v>
      </c>
      <c r="H38" s="351">
        <f t="shared" si="6"/>
        <v>227468</v>
      </c>
      <c r="I38" s="351">
        <f t="shared" si="6"/>
        <v>454936</v>
      </c>
      <c r="K38" s="52"/>
      <c r="L38" s="53"/>
      <c r="M38" s="54"/>
      <c r="N38" s="85"/>
      <c r="O38" s="84">
        <f t="shared" si="2"/>
        <v>0</v>
      </c>
      <c r="P38">
        <v>6.4583399999999999E-3</v>
      </c>
    </row>
    <row r="39" spans="2:16" x14ac:dyDescent="0.25">
      <c r="B39" s="313" t="s">
        <v>259</v>
      </c>
      <c r="C39" s="300"/>
      <c r="D39" s="345">
        <v>4.0902819999999998E-3</v>
      </c>
      <c r="E39" s="324">
        <f t="shared" si="6"/>
        <v>17102</v>
      </c>
      <c r="F39" s="267">
        <f t="shared" si="6"/>
        <v>47032</v>
      </c>
      <c r="G39" s="324">
        <f t="shared" si="6"/>
        <v>128271</v>
      </c>
      <c r="H39" s="267">
        <f t="shared" si="6"/>
        <v>359160</v>
      </c>
      <c r="I39" s="267">
        <f t="shared" si="6"/>
        <v>718320</v>
      </c>
      <c r="K39" s="44"/>
      <c r="L39" s="45"/>
      <c r="M39" s="46"/>
      <c r="N39" s="86"/>
      <c r="O39" s="84">
        <f t="shared" si="2"/>
        <v>0</v>
      </c>
      <c r="P39">
        <v>4.0902819999999998E-3</v>
      </c>
    </row>
    <row r="40" spans="2:16" x14ac:dyDescent="0.25">
      <c r="B40" s="314" t="s">
        <v>260</v>
      </c>
      <c r="C40" s="311"/>
      <c r="D40" s="344">
        <v>3.336809E-3</v>
      </c>
      <c r="E40" s="348">
        <f t="shared" si="6"/>
        <v>20964</v>
      </c>
      <c r="F40" s="351">
        <f t="shared" si="6"/>
        <v>57653</v>
      </c>
      <c r="G40" s="348">
        <f t="shared" si="6"/>
        <v>157236</v>
      </c>
      <c r="H40" s="351">
        <f t="shared" si="6"/>
        <v>440261</v>
      </c>
      <c r="I40" s="351">
        <f t="shared" si="6"/>
        <v>880522</v>
      </c>
      <c r="K40" s="52"/>
      <c r="L40" s="53"/>
      <c r="M40" s="54"/>
      <c r="N40" s="85"/>
      <c r="O40" s="84">
        <f t="shared" si="2"/>
        <v>0</v>
      </c>
      <c r="P40">
        <v>3.336809E-3</v>
      </c>
    </row>
    <row r="41" spans="2:16" x14ac:dyDescent="0.25">
      <c r="B41" s="313" t="s">
        <v>261</v>
      </c>
      <c r="C41" s="300"/>
      <c r="D41" s="345">
        <v>2.5833359999999999E-3</v>
      </c>
      <c r="E41" s="324">
        <f t="shared" si="6"/>
        <v>27079</v>
      </c>
      <c r="F41" s="267">
        <f t="shared" si="6"/>
        <v>74468</v>
      </c>
      <c r="G41" s="324">
        <f t="shared" si="6"/>
        <v>203096</v>
      </c>
      <c r="H41" s="267">
        <f t="shared" si="6"/>
        <v>568670</v>
      </c>
      <c r="I41" s="267">
        <f t="shared" si="6"/>
        <v>1137341</v>
      </c>
      <c r="K41" s="44"/>
      <c r="L41" s="45"/>
      <c r="M41" s="46"/>
      <c r="N41" s="86"/>
      <c r="O41" s="84">
        <f t="shared" si="2"/>
        <v>0</v>
      </c>
      <c r="P41">
        <v>2.5833359999999999E-3</v>
      </c>
    </row>
    <row r="42" spans="2:16" x14ac:dyDescent="0.25">
      <c r="B42" s="314" t="s">
        <v>262</v>
      </c>
      <c r="C42" s="311"/>
      <c r="D42" s="344">
        <v>1.9375019999999998E-3</v>
      </c>
      <c r="E42" s="348">
        <f t="shared" si="6"/>
        <v>36106</v>
      </c>
      <c r="F42" s="351">
        <f t="shared" si="6"/>
        <v>99291</v>
      </c>
      <c r="G42" s="348">
        <f t="shared" si="6"/>
        <v>270795</v>
      </c>
      <c r="H42" s="351">
        <f t="shared" si="6"/>
        <v>758227</v>
      </c>
      <c r="I42" s="351">
        <f t="shared" si="6"/>
        <v>1516454</v>
      </c>
      <c r="K42" s="52"/>
      <c r="L42" s="53"/>
      <c r="M42" s="54"/>
      <c r="N42" s="85"/>
      <c r="O42" s="84">
        <f t="shared" si="2"/>
        <v>0</v>
      </c>
      <c r="P42">
        <v>1.9375019999999998E-3</v>
      </c>
    </row>
    <row r="43" spans="2:16" x14ac:dyDescent="0.25">
      <c r="B43" s="313" t="s">
        <v>263</v>
      </c>
      <c r="C43" s="300"/>
      <c r="D43" s="345">
        <v>1.1840290000000001E-3</v>
      </c>
      <c r="E43" s="324">
        <f t="shared" si="6"/>
        <v>59082</v>
      </c>
      <c r="F43" s="267">
        <f t="shared" si="6"/>
        <v>162477</v>
      </c>
      <c r="G43" s="324">
        <f t="shared" si="6"/>
        <v>443119</v>
      </c>
      <c r="H43" s="267">
        <f t="shared" si="6"/>
        <v>1240735</v>
      </c>
      <c r="I43" s="267">
        <f t="shared" si="6"/>
        <v>2481471</v>
      </c>
      <c r="K43" s="44"/>
      <c r="L43" s="45"/>
      <c r="M43" s="46"/>
      <c r="N43" s="86"/>
      <c r="O43" s="84">
        <f>(SUM(K43:N43))*$D43</f>
        <v>0</v>
      </c>
      <c r="P43">
        <v>1.1840290000000001E-3</v>
      </c>
    </row>
    <row r="44" spans="2:16" x14ac:dyDescent="0.25">
      <c r="B44" s="314" t="s">
        <v>264</v>
      </c>
      <c r="C44" s="311"/>
      <c r="D44" s="344">
        <v>8.6111200000000003E-4</v>
      </c>
      <c r="E44" s="348">
        <f t="shared" si="6"/>
        <v>81238</v>
      </c>
      <c r="F44" s="351">
        <f t="shared" si="6"/>
        <v>223406</v>
      </c>
      <c r="G44" s="348">
        <f t="shared" si="6"/>
        <v>609289</v>
      </c>
      <c r="H44" s="351">
        <f t="shared" si="6"/>
        <v>1706011</v>
      </c>
      <c r="I44" s="351">
        <f t="shared" si="6"/>
        <v>3412023</v>
      </c>
      <c r="K44" s="52"/>
      <c r="L44" s="53"/>
      <c r="M44" s="54"/>
      <c r="N44" s="85"/>
      <c r="O44" s="84">
        <f t="shared" si="2"/>
        <v>0</v>
      </c>
      <c r="P44">
        <v>8.6111200000000003E-4</v>
      </c>
    </row>
    <row r="45" spans="2:16" x14ac:dyDescent="0.25">
      <c r="B45" s="313" t="s">
        <v>265</v>
      </c>
      <c r="C45" s="300"/>
      <c r="D45" s="345">
        <v>6.4583399999999997E-4</v>
      </c>
      <c r="E45" s="324">
        <f t="shared" si="6"/>
        <v>108318</v>
      </c>
      <c r="F45" s="267">
        <f t="shared" si="6"/>
        <v>297875</v>
      </c>
      <c r="G45" s="324">
        <f t="shared" si="6"/>
        <v>812386</v>
      </c>
      <c r="H45" s="267">
        <f t="shared" si="6"/>
        <v>2274682</v>
      </c>
      <c r="I45" s="267">
        <f t="shared" si="6"/>
        <v>4549364</v>
      </c>
      <c r="K45" s="44"/>
      <c r="L45" s="45"/>
      <c r="M45" s="46"/>
      <c r="N45" s="86"/>
      <c r="O45" s="84">
        <f t="shared" si="2"/>
        <v>0</v>
      </c>
      <c r="P45">
        <v>6.4583399999999997E-4</v>
      </c>
    </row>
    <row r="46" spans="2:16" ht="15.75" thickBot="1" x14ac:dyDescent="0.3">
      <c r="B46" s="315" t="s">
        <v>266</v>
      </c>
      <c r="C46" s="311"/>
      <c r="D46" s="346">
        <v>3.2291699999999998E-4</v>
      </c>
      <c r="E46" s="349">
        <f t="shared" si="6"/>
        <v>216636</v>
      </c>
      <c r="F46" s="352">
        <f t="shared" si="6"/>
        <v>595750</v>
      </c>
      <c r="G46" s="349">
        <f t="shared" si="6"/>
        <v>1624773</v>
      </c>
      <c r="H46" s="352">
        <f t="shared" si="6"/>
        <v>4549364</v>
      </c>
      <c r="I46" s="352">
        <f t="shared" si="6"/>
        <v>9098729</v>
      </c>
      <c r="K46" s="52"/>
      <c r="L46" s="53"/>
      <c r="M46" s="54"/>
      <c r="N46" s="85"/>
      <c r="O46" s="84">
        <f t="shared" si="2"/>
        <v>0</v>
      </c>
      <c r="P46">
        <v>3.2291699999999998E-4</v>
      </c>
    </row>
    <row r="47" spans="2:16" ht="15.75" thickBot="1" x14ac:dyDescent="0.3">
      <c r="B47" s="310"/>
      <c r="C47" s="97"/>
      <c r="D47" s="97"/>
      <c r="E47" s="97"/>
      <c r="F47" s="97"/>
      <c r="G47" s="97"/>
      <c r="H47" s="97"/>
      <c r="I47" s="98"/>
      <c r="K47" s="379" t="s">
        <v>78</v>
      </c>
      <c r="L47" s="380"/>
      <c r="M47" s="380"/>
      <c r="N47" s="381"/>
      <c r="O47" s="55">
        <f>ROUND(SUM(O9:O46),2)</f>
        <v>0</v>
      </c>
    </row>
    <row r="48" spans="2:16" ht="15.75" thickBot="1" x14ac:dyDescent="0.3">
      <c r="B48" s="96"/>
      <c r="C48" s="97"/>
      <c r="D48" s="97"/>
      <c r="E48" s="97"/>
      <c r="F48" s="97"/>
      <c r="G48" s="97"/>
      <c r="H48" s="97"/>
      <c r="I48" s="98"/>
      <c r="K48" s="379" t="s">
        <v>245</v>
      </c>
      <c r="L48" s="380"/>
      <c r="M48" s="380"/>
      <c r="N48" s="381"/>
      <c r="O48" s="10" t="str">
        <f>IF(O47&lt;=E5,E2,IF(O47&lt;=F5,F2,IF(O47&lt;=G5,G2,IF(O47&lt;=H5,H2,IF(O47&lt;=I5,I2,"N/A")))))</f>
        <v>BD210W Series</v>
      </c>
    </row>
    <row r="49" spans="2:15" ht="15.75" thickBot="1" x14ac:dyDescent="0.3">
      <c r="B49" s="41"/>
      <c r="C49" s="42"/>
      <c r="D49" s="42"/>
      <c r="E49" s="42"/>
      <c r="F49" s="42"/>
      <c r="G49" s="42"/>
      <c r="H49" s="42"/>
      <c r="I49" s="43"/>
      <c r="K49" s="373" t="s">
        <v>237</v>
      </c>
      <c r="L49" s="374"/>
      <c r="M49" s="374"/>
      <c r="N49" s="375"/>
      <c r="O49" s="366">
        <f>IF(O48=E2,(O47*((B6+14.7)/14.7)/E3)/60,IF(O48=F2,(O47*((B6+14.7)/14.7)/F3)/60,IF(O48=G2,(O47*((B6+14.7)/14.7)/G3)/60,IF(O48=H2,(O47*((B6+14.7)/14.7)/H3)/60,IF(O48=I2,(O47*((B6+14.7)/14.7)/I3)/60)))))</f>
        <v>0</v>
      </c>
    </row>
    <row r="88" spans="5:9" x14ac:dyDescent="0.25">
      <c r="E88" s="1"/>
      <c r="F88" s="1"/>
      <c r="G88" s="1"/>
      <c r="H88" s="1"/>
      <c r="I88" s="1"/>
    </row>
    <row r="89" spans="5:9" x14ac:dyDescent="0.25">
      <c r="E89" s="1"/>
      <c r="F89" s="1"/>
      <c r="G89" s="1"/>
      <c r="H89" s="1"/>
      <c r="I89" s="1"/>
    </row>
    <row r="90" spans="5:9" x14ac:dyDescent="0.25">
      <c r="E90" s="1"/>
      <c r="F90" s="1"/>
      <c r="G90" s="1"/>
      <c r="H90" s="1"/>
      <c r="I90" s="1"/>
    </row>
    <row r="91" spans="5:9" x14ac:dyDescent="0.25">
      <c r="E91" s="1"/>
      <c r="F91" s="1"/>
      <c r="G91" s="1"/>
      <c r="H91" s="1"/>
      <c r="I91" s="1"/>
    </row>
    <row r="92" spans="5:9" x14ac:dyDescent="0.25">
      <c r="E92" s="1"/>
      <c r="F92" s="1"/>
      <c r="G92" s="1"/>
      <c r="H92" s="1"/>
      <c r="I92" s="1"/>
    </row>
    <row r="93" spans="5:9" x14ac:dyDescent="0.25">
      <c r="E93" s="1"/>
      <c r="F93" s="1"/>
      <c r="G93" s="1"/>
      <c r="H93" s="1"/>
      <c r="I93" s="1"/>
    </row>
    <row r="94" spans="5:9" x14ac:dyDescent="0.25">
      <c r="E94" s="1"/>
      <c r="F94" s="1"/>
      <c r="G94" s="1"/>
      <c r="H94" s="1"/>
      <c r="I94" s="1"/>
    </row>
    <row r="95" spans="5:9" x14ac:dyDescent="0.25">
      <c r="E95" s="1"/>
      <c r="F95" s="1"/>
      <c r="G95" s="1"/>
      <c r="H95" s="1"/>
      <c r="I95" s="1"/>
    </row>
    <row r="96" spans="5:9" x14ac:dyDescent="0.25">
      <c r="E96" s="1"/>
      <c r="F96" s="1"/>
      <c r="G96" s="1"/>
      <c r="H96" s="1"/>
      <c r="I96" s="1"/>
    </row>
    <row r="97" spans="5:9" x14ac:dyDescent="0.25">
      <c r="E97" s="1"/>
      <c r="F97" s="1"/>
      <c r="G97" s="1"/>
      <c r="H97" s="1"/>
      <c r="I97" s="1"/>
    </row>
  </sheetData>
  <sheetProtection algorithmName="SHA-512" hashValue="74rar50JpPLv6K03ULXepzABjOyjt4CdJ1OQzYJuoUuz91LanSRfAWEQPrBL7ECozvLRMzTgQ7DrID2RoawQHA==" saltValue="VE9O6WH5Nq7czTMyVwb+Lg==" spinCount="100000" sheet="1" objects="1" scenarios="1" selectLockedCells="1"/>
  <mergeCells count="11">
    <mergeCell ref="C2:D2"/>
    <mergeCell ref="K49:N49"/>
    <mergeCell ref="K2:O2"/>
    <mergeCell ref="K47:N47"/>
    <mergeCell ref="K48:N48"/>
    <mergeCell ref="C3:D3"/>
    <mergeCell ref="K3:O7"/>
    <mergeCell ref="C4:D4"/>
    <mergeCell ref="C5:D5"/>
    <mergeCell ref="C6:D6"/>
    <mergeCell ref="E8:I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8A11-16A3-4FEC-B513-EDD5A5CC7ECC}">
  <dimension ref="B1:S98"/>
  <sheetViews>
    <sheetView showGridLines="0" zoomScaleNormal="100" workbookViewId="0">
      <selection activeCell="O50" sqref="K50:O50"/>
    </sheetView>
  </sheetViews>
  <sheetFormatPr defaultRowHeight="15" x14ac:dyDescent="0.25"/>
  <cols>
    <col min="1" max="1" width="5.140625" customWidth="1"/>
    <col min="2" max="2" width="24.28515625" customWidth="1"/>
    <col min="3" max="3" width="11.5703125" hidden="1" customWidth="1"/>
    <col min="4" max="4" width="19.140625" customWidth="1"/>
    <col min="5" max="6" width="14.42578125" bestFit="1" customWidth="1"/>
    <col min="7" max="9" width="15.42578125" bestFit="1" customWidth="1"/>
    <col min="10" max="10" width="2.42578125" customWidth="1"/>
    <col min="11" max="14" width="12.140625" customWidth="1"/>
    <col min="15" max="15" width="14.5703125" customWidth="1"/>
    <col min="16" max="18" width="9.140625" hidden="1" customWidth="1"/>
    <col min="19" max="19" width="12" hidden="1" customWidth="1"/>
  </cols>
  <sheetData>
    <row r="1" spans="2:19" ht="15.75" thickBot="1" x14ac:dyDescent="0.3"/>
    <row r="2" spans="2:19" ht="15.75" thickBot="1" x14ac:dyDescent="0.3">
      <c r="B2" s="271" t="s">
        <v>248</v>
      </c>
      <c r="C2" s="371" t="s">
        <v>2</v>
      </c>
      <c r="D2" s="372"/>
      <c r="E2" s="83" t="s">
        <v>186</v>
      </c>
      <c r="F2" s="25" t="s">
        <v>187</v>
      </c>
      <c r="G2" s="25" t="s">
        <v>188</v>
      </c>
      <c r="H2" s="25" t="s">
        <v>189</v>
      </c>
      <c r="I2" s="26" t="s">
        <v>190</v>
      </c>
      <c r="K2" s="376" t="s">
        <v>244</v>
      </c>
      <c r="L2" s="377"/>
      <c r="M2" s="377"/>
      <c r="N2" s="377"/>
      <c r="O2" s="378"/>
    </row>
    <row r="3" spans="2:19" ht="15.75" customHeight="1" thickBot="1" x14ac:dyDescent="0.3">
      <c r="B3" s="275" t="s">
        <v>239</v>
      </c>
      <c r="C3" s="382" t="s">
        <v>210</v>
      </c>
      <c r="D3" s="383"/>
      <c r="E3" s="190">
        <f>E4/1440</f>
        <v>3.9583333333333337E-3</v>
      </c>
      <c r="F3" s="191">
        <f>F4/1440</f>
        <v>1.0833333333333334E-2</v>
      </c>
      <c r="G3" s="190">
        <f>G4/1440</f>
        <v>2.9513888888888888E-2</v>
      </c>
      <c r="H3" s="192">
        <f>H4/1440</f>
        <v>8.2638888888888887E-2</v>
      </c>
      <c r="I3" s="191">
        <f>I4/1440</f>
        <v>0.16527777777777777</v>
      </c>
      <c r="K3" s="384" t="s">
        <v>267</v>
      </c>
      <c r="L3" s="385"/>
      <c r="M3" s="385"/>
      <c r="N3" s="385"/>
      <c r="O3" s="386"/>
    </row>
    <row r="4" spans="2:19" ht="15.75" thickBot="1" x14ac:dyDescent="0.3">
      <c r="B4" s="276">
        <v>11.25</v>
      </c>
      <c r="C4" s="382" t="s">
        <v>211</v>
      </c>
      <c r="D4" s="383"/>
      <c r="E4" s="28">
        <v>5.7</v>
      </c>
      <c r="F4" s="29">
        <v>15.6</v>
      </c>
      <c r="G4" s="28">
        <v>42.5</v>
      </c>
      <c r="H4" s="30">
        <v>119</v>
      </c>
      <c r="I4" s="31">
        <v>238</v>
      </c>
      <c r="K4" s="387"/>
      <c r="L4" s="388"/>
      <c r="M4" s="388"/>
      <c r="N4" s="388"/>
      <c r="O4" s="389"/>
    </row>
    <row r="5" spans="2:19" ht="15.75" thickBot="1" x14ac:dyDescent="0.3">
      <c r="B5" s="269" t="s">
        <v>240</v>
      </c>
      <c r="C5" s="382" t="s">
        <v>214</v>
      </c>
      <c r="D5" s="382"/>
      <c r="E5" s="199">
        <f>($B$4*60*101.35*E3)/($B$6+101.35)</f>
        <v>1.9933347902097907</v>
      </c>
      <c r="F5" s="199">
        <f t="shared" ref="F5:I5" si="0">($B$4*60*101.35*F3)/($B$6+101.35)</f>
        <v>5.4554425837320579</v>
      </c>
      <c r="G5" s="199">
        <f t="shared" si="0"/>
        <v>14.862583962090541</v>
      </c>
      <c r="H5" s="199">
        <f t="shared" si="0"/>
        <v>41.615235093853514</v>
      </c>
      <c r="I5" s="199">
        <f t="shared" si="0"/>
        <v>83.230470187707027</v>
      </c>
      <c r="K5" s="387"/>
      <c r="L5" s="388"/>
      <c r="M5" s="388"/>
      <c r="N5" s="388"/>
      <c r="O5" s="389"/>
    </row>
    <row r="6" spans="2:19" ht="15.75" hidden="1" customHeight="1" thickBot="1" x14ac:dyDescent="0.3">
      <c r="B6" s="276">
        <v>34.5</v>
      </c>
      <c r="C6" s="382" t="s">
        <v>213</v>
      </c>
      <c r="D6" s="383"/>
      <c r="E6" s="32">
        <f>E5*100*100*100</f>
        <v>1993334.7902097907</v>
      </c>
      <c r="F6" s="32">
        <f>F5*100*100*100</f>
        <v>5455442.5837320583</v>
      </c>
      <c r="G6" s="32">
        <f>G5*100*100*100</f>
        <v>14862583.962090541</v>
      </c>
      <c r="H6" s="32">
        <f>H5*100*100*100</f>
        <v>41615235.093853518</v>
      </c>
      <c r="I6" s="33">
        <f>I5*100*100*100</f>
        <v>83230470.187707037</v>
      </c>
      <c r="K6" s="387"/>
      <c r="L6" s="388"/>
      <c r="M6" s="388"/>
      <c r="N6" s="388"/>
      <c r="O6" s="389"/>
    </row>
    <row r="7" spans="2:19" ht="15.75" thickBot="1" x14ac:dyDescent="0.3">
      <c r="B7" s="272"/>
      <c r="C7" s="382" t="s">
        <v>225</v>
      </c>
      <c r="D7" s="383"/>
      <c r="E7" s="273">
        <f>E6/1000</f>
        <v>1993.3347902097908</v>
      </c>
      <c r="F7" s="273">
        <f>F6/1000</f>
        <v>5455.4425837320587</v>
      </c>
      <c r="G7" s="273">
        <f>G6/1000</f>
        <v>14862.583962090541</v>
      </c>
      <c r="H7" s="273">
        <f>H6/1000</f>
        <v>41615.235093853516</v>
      </c>
      <c r="I7" s="274">
        <f>I6/1000</f>
        <v>83230.470187707033</v>
      </c>
      <c r="K7" s="390"/>
      <c r="L7" s="391"/>
      <c r="M7" s="391"/>
      <c r="N7" s="391"/>
      <c r="O7" s="392"/>
    </row>
    <row r="8" spans="2:19" ht="15.75" hidden="1" thickBot="1" x14ac:dyDescent="0.3">
      <c r="B8" s="264"/>
      <c r="C8" s="277"/>
      <c r="D8" s="277" t="s">
        <v>238</v>
      </c>
      <c r="E8" s="263">
        <f>E5/E4</f>
        <v>0.34970785793154219</v>
      </c>
      <c r="F8" s="263">
        <f t="shared" ref="F8:I8" si="1">F5/F4</f>
        <v>0.34970785793154219</v>
      </c>
      <c r="G8" s="263">
        <f t="shared" si="1"/>
        <v>0.34970785793154213</v>
      </c>
      <c r="H8" s="263">
        <f t="shared" si="1"/>
        <v>0.34970785793154213</v>
      </c>
      <c r="I8" s="263">
        <f t="shared" si="1"/>
        <v>0.34970785793154213</v>
      </c>
      <c r="K8" s="215"/>
      <c r="L8" s="216"/>
      <c r="M8" s="216"/>
      <c r="N8" s="216"/>
      <c r="O8" s="217"/>
    </row>
    <row r="9" spans="2:19" ht="30.75" thickBot="1" x14ac:dyDescent="0.3">
      <c r="B9" s="225"/>
      <c r="C9" s="270" t="s">
        <v>212</v>
      </c>
      <c r="D9" s="143" t="s">
        <v>224</v>
      </c>
      <c r="E9" s="395" t="s">
        <v>215</v>
      </c>
      <c r="F9" s="396"/>
      <c r="G9" s="396"/>
      <c r="H9" s="396"/>
      <c r="I9" s="447"/>
      <c r="K9" s="184" t="s">
        <v>216</v>
      </c>
      <c r="L9" s="185" t="s">
        <v>217</v>
      </c>
      <c r="M9" s="185" t="s">
        <v>218</v>
      </c>
      <c r="N9" s="186" t="s">
        <v>219</v>
      </c>
      <c r="O9" s="187" t="s">
        <v>226</v>
      </c>
      <c r="P9" s="196" t="s">
        <v>222</v>
      </c>
      <c r="Q9" s="196" t="s">
        <v>220</v>
      </c>
      <c r="R9" s="196" t="s">
        <v>221</v>
      </c>
      <c r="S9" s="196" t="s">
        <v>223</v>
      </c>
    </row>
    <row r="10" spans="2:19" x14ac:dyDescent="0.25">
      <c r="B10" s="88" t="s">
        <v>62</v>
      </c>
      <c r="C10" s="151">
        <f>R10</f>
        <v>1.1666190248082646</v>
      </c>
      <c r="D10" s="56">
        <f>S10</f>
        <v>0.10683859939241352</v>
      </c>
      <c r="E10" s="193">
        <f>INT(E$7/$D10)</f>
        <v>18657</v>
      </c>
      <c r="F10" s="193">
        <f>INT(F$7/$D10)</f>
        <v>51062</v>
      </c>
      <c r="G10" s="193">
        <f>INT(G$7/$D10)</f>
        <v>139112</v>
      </c>
      <c r="H10" s="193">
        <f>INT(H$7/$D10)</f>
        <v>389514</v>
      </c>
      <c r="I10" s="265">
        <f>INT(I$7/$D10)</f>
        <v>779029</v>
      </c>
      <c r="K10" s="44"/>
      <c r="L10" s="45"/>
      <c r="M10" s="46"/>
      <c r="N10" s="86"/>
      <c r="O10" s="84">
        <f>(SUM(K10:N10))*D10</f>
        <v>0</v>
      </c>
      <c r="P10">
        <v>1.15E-3</v>
      </c>
      <c r="Q10">
        <f>SQRT(P10*4/3.14)*12</f>
        <v>0.45929882866467109</v>
      </c>
      <c r="R10">
        <f>Q10*2.54</f>
        <v>1.1666190248082646</v>
      </c>
      <c r="S10">
        <f>P10/0.0107639</f>
        <v>0.10683859939241352</v>
      </c>
    </row>
    <row r="11" spans="2:19" x14ac:dyDescent="0.25">
      <c r="B11" s="89" t="s">
        <v>63</v>
      </c>
      <c r="C11" s="152">
        <f t="shared" ref="C11:D29" si="2">R11</f>
        <v>1.3054534200219989</v>
      </c>
      <c r="D11" s="188">
        <f t="shared" si="2"/>
        <v>0.13378050706528305</v>
      </c>
      <c r="E11" s="194">
        <f t="shared" ref="E11:I29" si="3">INT(E$7/$D11)</f>
        <v>14900</v>
      </c>
      <c r="F11" s="194">
        <f t="shared" si="3"/>
        <v>40779</v>
      </c>
      <c r="G11" s="194">
        <f t="shared" si="3"/>
        <v>111096</v>
      </c>
      <c r="H11" s="194">
        <f t="shared" si="3"/>
        <v>311070</v>
      </c>
      <c r="I11" s="266">
        <f t="shared" si="3"/>
        <v>622141</v>
      </c>
      <c r="K11" s="52"/>
      <c r="L11" s="53"/>
      <c r="M11" s="54"/>
      <c r="N11" s="85"/>
      <c r="O11" s="84">
        <f t="shared" ref="O11:O29" si="4">(SUM(K11:N11))*D11</f>
        <v>0</v>
      </c>
      <c r="P11">
        <v>1.4400000000000001E-3</v>
      </c>
      <c r="Q11">
        <f t="shared" ref="Q11:Q23" si="5">SQRT(P11*4/3.14)*12</f>
        <v>0.51395803937873974</v>
      </c>
      <c r="R11">
        <f t="shared" ref="R11:R29" si="6">Q11*2.54</f>
        <v>1.3054534200219989</v>
      </c>
      <c r="S11">
        <f t="shared" ref="S11:S29" si="7">P11/0.0107639</f>
        <v>0.13378050706528305</v>
      </c>
    </row>
    <row r="12" spans="2:19" x14ac:dyDescent="0.25">
      <c r="B12" s="88" t="s">
        <v>64</v>
      </c>
      <c r="C12" s="151">
        <f t="shared" si="2"/>
        <v>1.794174113358173</v>
      </c>
      <c r="D12" s="56">
        <f t="shared" si="2"/>
        <v>0.25269651334553461</v>
      </c>
      <c r="E12" s="193">
        <f t="shared" si="3"/>
        <v>7888</v>
      </c>
      <c r="F12" s="193">
        <f t="shared" si="3"/>
        <v>21588</v>
      </c>
      <c r="G12" s="193">
        <f t="shared" si="3"/>
        <v>58815</v>
      </c>
      <c r="H12" s="193">
        <f t="shared" si="3"/>
        <v>164684</v>
      </c>
      <c r="I12" s="267">
        <f t="shared" si="3"/>
        <v>329369</v>
      </c>
      <c r="K12" s="44"/>
      <c r="L12" s="45"/>
      <c r="M12" s="46"/>
      <c r="N12" s="86"/>
      <c r="O12" s="84">
        <f t="shared" si="4"/>
        <v>0</v>
      </c>
      <c r="P12">
        <v>2.7200000000000002E-3</v>
      </c>
      <c r="Q12">
        <f t="shared" si="5"/>
        <v>0.70636776116463507</v>
      </c>
      <c r="R12">
        <f t="shared" si="6"/>
        <v>1.794174113358173</v>
      </c>
      <c r="S12">
        <f t="shared" si="7"/>
        <v>0.25269651334553461</v>
      </c>
    </row>
    <row r="13" spans="2:19" x14ac:dyDescent="0.25">
      <c r="B13" s="89" t="s">
        <v>65</v>
      </c>
      <c r="C13" s="152">
        <f t="shared" si="2"/>
        <v>2.3859023914770803</v>
      </c>
      <c r="D13" s="188">
        <f t="shared" si="2"/>
        <v>0.44686405485000791</v>
      </c>
      <c r="E13" s="194">
        <f t="shared" si="3"/>
        <v>4460</v>
      </c>
      <c r="F13" s="194">
        <f t="shared" si="3"/>
        <v>12208</v>
      </c>
      <c r="G13" s="194">
        <f t="shared" si="3"/>
        <v>33259</v>
      </c>
      <c r="H13" s="194">
        <f t="shared" si="3"/>
        <v>93127</v>
      </c>
      <c r="I13" s="266">
        <f t="shared" si="3"/>
        <v>186254</v>
      </c>
      <c r="K13" s="52"/>
      <c r="L13" s="53"/>
      <c r="M13" s="54"/>
      <c r="N13" s="85"/>
      <c r="O13" s="84">
        <f t="shared" si="4"/>
        <v>0</v>
      </c>
      <c r="P13">
        <v>4.81E-3</v>
      </c>
      <c r="Q13">
        <f t="shared" si="5"/>
        <v>0.93933165018782683</v>
      </c>
      <c r="R13">
        <f t="shared" si="6"/>
        <v>2.3859023914770803</v>
      </c>
      <c r="S13">
        <f t="shared" si="7"/>
        <v>0.44686405485000791</v>
      </c>
    </row>
    <row r="14" spans="2:19" x14ac:dyDescent="0.25">
      <c r="B14" s="88" t="s">
        <v>66</v>
      </c>
      <c r="C14" s="151">
        <f t="shared" si="2"/>
        <v>3.0961546398944817</v>
      </c>
      <c r="D14" s="56">
        <f t="shared" si="2"/>
        <v>0.75251535224221699</v>
      </c>
      <c r="E14" s="193">
        <f t="shared" si="3"/>
        <v>2648</v>
      </c>
      <c r="F14" s="193">
        <f t="shared" si="3"/>
        <v>7249</v>
      </c>
      <c r="G14" s="193">
        <f t="shared" si="3"/>
        <v>19750</v>
      </c>
      <c r="H14" s="193">
        <f t="shared" si="3"/>
        <v>55301</v>
      </c>
      <c r="I14" s="267">
        <f t="shared" si="3"/>
        <v>110603</v>
      </c>
      <c r="K14" s="44"/>
      <c r="L14" s="45"/>
      <c r="M14" s="46"/>
      <c r="N14" s="86"/>
      <c r="O14" s="84">
        <f t="shared" si="4"/>
        <v>0</v>
      </c>
      <c r="P14">
        <v>8.0999999999999996E-3</v>
      </c>
      <c r="Q14">
        <f t="shared" si="5"/>
        <v>1.2189585196434967</v>
      </c>
      <c r="R14">
        <f t="shared" si="6"/>
        <v>3.0961546398944817</v>
      </c>
      <c r="S14">
        <f t="shared" si="7"/>
        <v>0.75251535224221699</v>
      </c>
    </row>
    <row r="15" spans="2:19" x14ac:dyDescent="0.25">
      <c r="B15" s="89" t="s">
        <v>67</v>
      </c>
      <c r="C15" s="152">
        <f t="shared" si="2"/>
        <v>4.2691409598456511</v>
      </c>
      <c r="D15" s="188">
        <f t="shared" si="2"/>
        <v>1.4307082005592768</v>
      </c>
      <c r="E15" s="194">
        <f t="shared" si="3"/>
        <v>1393</v>
      </c>
      <c r="F15" s="194">
        <f t="shared" si="3"/>
        <v>3813</v>
      </c>
      <c r="G15" s="194">
        <f t="shared" si="3"/>
        <v>10388</v>
      </c>
      <c r="H15" s="194">
        <f t="shared" si="3"/>
        <v>29087</v>
      </c>
      <c r="I15" s="266">
        <f t="shared" si="3"/>
        <v>58174</v>
      </c>
      <c r="K15" s="52"/>
      <c r="L15" s="53"/>
      <c r="M15" s="54"/>
      <c r="N15" s="85"/>
      <c r="O15" s="84">
        <f t="shared" si="4"/>
        <v>0</v>
      </c>
      <c r="P15">
        <v>1.54E-2</v>
      </c>
      <c r="Q15">
        <f t="shared" si="5"/>
        <v>1.6807641574195478</v>
      </c>
      <c r="R15">
        <f t="shared" si="6"/>
        <v>4.2691409598456511</v>
      </c>
      <c r="S15">
        <f t="shared" si="7"/>
        <v>1.4307082005592768</v>
      </c>
    </row>
    <row r="16" spans="2:19" x14ac:dyDescent="0.25">
      <c r="B16" s="88" t="s">
        <v>68</v>
      </c>
      <c r="C16" s="151">
        <f t="shared" si="2"/>
        <v>5.1831414717257696</v>
      </c>
      <c r="D16" s="56">
        <f t="shared" si="2"/>
        <v>2.1089010488763367</v>
      </c>
      <c r="E16" s="193">
        <f t="shared" si="3"/>
        <v>945</v>
      </c>
      <c r="F16" s="193">
        <f t="shared" si="3"/>
        <v>2586</v>
      </c>
      <c r="G16" s="193">
        <f t="shared" si="3"/>
        <v>7047</v>
      </c>
      <c r="H16" s="193">
        <f t="shared" si="3"/>
        <v>19733</v>
      </c>
      <c r="I16" s="267">
        <f t="shared" si="3"/>
        <v>39466</v>
      </c>
      <c r="K16" s="44"/>
      <c r="L16" s="45"/>
      <c r="M16" s="46"/>
      <c r="N16" s="86"/>
      <c r="O16" s="84">
        <f t="shared" si="4"/>
        <v>0</v>
      </c>
      <c r="P16">
        <v>2.2700000000000001E-2</v>
      </c>
      <c r="Q16">
        <f t="shared" si="5"/>
        <v>2.0406068786321927</v>
      </c>
      <c r="R16">
        <f t="shared" si="6"/>
        <v>5.1831414717257696</v>
      </c>
      <c r="S16">
        <f t="shared" si="7"/>
        <v>2.1089010488763367</v>
      </c>
    </row>
    <row r="17" spans="2:19" x14ac:dyDescent="0.25">
      <c r="B17" s="89" t="s">
        <v>70</v>
      </c>
      <c r="C17" s="152">
        <f t="shared" si="2"/>
        <v>6.6262388905317104</v>
      </c>
      <c r="D17" s="188">
        <f t="shared" si="2"/>
        <v>3.4467061195291673</v>
      </c>
      <c r="E17" s="194">
        <f t="shared" si="3"/>
        <v>578</v>
      </c>
      <c r="F17" s="194">
        <f t="shared" si="3"/>
        <v>1582</v>
      </c>
      <c r="G17" s="194">
        <f t="shared" si="3"/>
        <v>4312</v>
      </c>
      <c r="H17" s="194">
        <f t="shared" si="3"/>
        <v>12073</v>
      </c>
      <c r="I17" s="266">
        <f t="shared" si="3"/>
        <v>24147</v>
      </c>
      <c r="K17" s="52"/>
      <c r="L17" s="53"/>
      <c r="M17" s="54"/>
      <c r="N17" s="85"/>
      <c r="O17" s="84">
        <f t="shared" si="4"/>
        <v>0</v>
      </c>
      <c r="P17">
        <v>3.7100000000000001E-2</v>
      </c>
      <c r="Q17">
        <f t="shared" si="5"/>
        <v>2.6087554687132717</v>
      </c>
      <c r="R17">
        <f t="shared" si="6"/>
        <v>6.6262388905317104</v>
      </c>
      <c r="S17">
        <f t="shared" si="7"/>
        <v>3.4467061195291673</v>
      </c>
    </row>
    <row r="18" spans="2:19" x14ac:dyDescent="0.25">
      <c r="B18" s="88" t="s">
        <v>71</v>
      </c>
      <c r="C18" s="151">
        <f t="shared" si="2"/>
        <v>7.8145681886155609</v>
      </c>
      <c r="D18" s="56">
        <f t="shared" si="2"/>
        <v>4.7938015031726415</v>
      </c>
      <c r="E18" s="193">
        <f t="shared" si="3"/>
        <v>415</v>
      </c>
      <c r="F18" s="193">
        <f t="shared" si="3"/>
        <v>1138</v>
      </c>
      <c r="G18" s="193">
        <f t="shared" si="3"/>
        <v>3100</v>
      </c>
      <c r="H18" s="193">
        <f t="shared" si="3"/>
        <v>8681</v>
      </c>
      <c r="I18" s="267">
        <f t="shared" si="3"/>
        <v>17362</v>
      </c>
      <c r="K18" s="44"/>
      <c r="L18" s="45"/>
      <c r="M18" s="46"/>
      <c r="N18" s="86"/>
      <c r="O18" s="84">
        <f t="shared" si="4"/>
        <v>0</v>
      </c>
      <c r="P18">
        <v>5.16E-2</v>
      </c>
      <c r="Q18">
        <f t="shared" si="5"/>
        <v>3.0766016490612444</v>
      </c>
      <c r="R18">
        <f t="shared" si="6"/>
        <v>7.8145681886155609</v>
      </c>
      <c r="S18">
        <f t="shared" si="7"/>
        <v>4.7938015031726415</v>
      </c>
    </row>
    <row r="19" spans="2:19" x14ac:dyDescent="0.25">
      <c r="B19" s="89" t="s">
        <v>72</v>
      </c>
      <c r="C19" s="152">
        <f t="shared" si="2"/>
        <v>9.9646285615383956</v>
      </c>
      <c r="D19" s="188">
        <f t="shared" si="2"/>
        <v>7.7945725991508654</v>
      </c>
      <c r="E19" s="194">
        <f t="shared" si="3"/>
        <v>255</v>
      </c>
      <c r="F19" s="194">
        <f t="shared" si="3"/>
        <v>699</v>
      </c>
      <c r="G19" s="194">
        <f t="shared" si="3"/>
        <v>1906</v>
      </c>
      <c r="H19" s="194">
        <f t="shared" si="3"/>
        <v>5339</v>
      </c>
      <c r="I19" s="266">
        <f t="shared" si="3"/>
        <v>10678</v>
      </c>
      <c r="K19" s="52"/>
      <c r="L19" s="53"/>
      <c r="M19" s="54"/>
      <c r="N19" s="85"/>
      <c r="O19" s="84">
        <f t="shared" si="4"/>
        <v>0</v>
      </c>
      <c r="P19">
        <v>8.3900000000000002E-2</v>
      </c>
      <c r="Q19">
        <f t="shared" si="5"/>
        <v>3.9230821108418881</v>
      </c>
      <c r="R19">
        <f t="shared" si="6"/>
        <v>9.9646285615383956</v>
      </c>
      <c r="S19">
        <f t="shared" si="7"/>
        <v>7.7945725991508654</v>
      </c>
    </row>
    <row r="20" spans="2:19" x14ac:dyDescent="0.25">
      <c r="B20" s="88" t="s">
        <v>73</v>
      </c>
      <c r="C20" s="151">
        <f t="shared" si="2"/>
        <v>12.779671118043309</v>
      </c>
      <c r="D20" s="56">
        <f t="shared" si="2"/>
        <v>12.820631927089625</v>
      </c>
      <c r="E20" s="193">
        <f t="shared" si="3"/>
        <v>155</v>
      </c>
      <c r="F20" s="193">
        <f t="shared" si="3"/>
        <v>425</v>
      </c>
      <c r="G20" s="193">
        <f t="shared" si="3"/>
        <v>1159</v>
      </c>
      <c r="H20" s="193">
        <f t="shared" si="3"/>
        <v>3245</v>
      </c>
      <c r="I20" s="267">
        <f t="shared" si="3"/>
        <v>6491</v>
      </c>
      <c r="K20" s="44"/>
      <c r="L20" s="45"/>
      <c r="M20" s="46"/>
      <c r="N20" s="86"/>
      <c r="O20" s="84">
        <f t="shared" si="4"/>
        <v>0</v>
      </c>
      <c r="P20">
        <v>0.13800000000000001</v>
      </c>
      <c r="Q20">
        <f t="shared" si="5"/>
        <v>5.0313665819068145</v>
      </c>
      <c r="R20">
        <f t="shared" si="6"/>
        <v>12.779671118043309</v>
      </c>
      <c r="S20">
        <f t="shared" si="7"/>
        <v>12.820631927089625</v>
      </c>
    </row>
    <row r="21" spans="2:19" x14ac:dyDescent="0.25">
      <c r="B21" s="89" t="s">
        <v>74</v>
      </c>
      <c r="C21" s="152">
        <f t="shared" si="2"/>
        <v>14.756693120314381</v>
      </c>
      <c r="D21" s="188">
        <f t="shared" si="2"/>
        <v>17.094175902786166</v>
      </c>
      <c r="E21" s="194">
        <f t="shared" si="3"/>
        <v>116</v>
      </c>
      <c r="F21" s="194">
        <f t="shared" si="3"/>
        <v>319</v>
      </c>
      <c r="G21" s="194">
        <f t="shared" si="3"/>
        <v>869</v>
      </c>
      <c r="H21" s="194">
        <f t="shared" si="3"/>
        <v>2434</v>
      </c>
      <c r="I21" s="266">
        <f t="shared" si="3"/>
        <v>4868</v>
      </c>
      <c r="K21" s="52"/>
      <c r="L21" s="53"/>
      <c r="M21" s="54"/>
      <c r="N21" s="85"/>
      <c r="O21" s="84">
        <f t="shared" si="4"/>
        <v>0</v>
      </c>
      <c r="P21">
        <v>0.184</v>
      </c>
      <c r="Q21">
        <f t="shared" si="5"/>
        <v>5.8097217009111732</v>
      </c>
      <c r="R21">
        <f t="shared" si="6"/>
        <v>14.756693120314381</v>
      </c>
      <c r="S21">
        <f t="shared" si="7"/>
        <v>17.094175902786166</v>
      </c>
    </row>
    <row r="22" spans="2:19" x14ac:dyDescent="0.25">
      <c r="B22" s="88" t="s">
        <v>75</v>
      </c>
      <c r="C22" s="151">
        <f t="shared" si="2"/>
        <v>19.611996848413106</v>
      </c>
      <c r="D22" s="56">
        <f t="shared" si="2"/>
        <v>30.19351721959513</v>
      </c>
      <c r="E22" s="193">
        <f t="shared" si="3"/>
        <v>66</v>
      </c>
      <c r="F22" s="193">
        <f t="shared" si="3"/>
        <v>180</v>
      </c>
      <c r="G22" s="193">
        <f t="shared" si="3"/>
        <v>492</v>
      </c>
      <c r="H22" s="193">
        <f t="shared" si="3"/>
        <v>1378</v>
      </c>
      <c r="I22" s="267">
        <f t="shared" si="3"/>
        <v>2756</v>
      </c>
      <c r="K22" s="44"/>
      <c r="L22" s="45"/>
      <c r="M22" s="46"/>
      <c r="N22" s="86"/>
      <c r="O22" s="84">
        <f t="shared" si="4"/>
        <v>0</v>
      </c>
      <c r="P22">
        <v>0.32500000000000001</v>
      </c>
      <c r="Q22">
        <f t="shared" si="5"/>
        <v>7.7212586017374436</v>
      </c>
      <c r="R22">
        <f t="shared" si="6"/>
        <v>19.611996848413106</v>
      </c>
      <c r="S22">
        <f t="shared" si="7"/>
        <v>30.19351721959513</v>
      </c>
    </row>
    <row r="23" spans="2:19" ht="15.75" thickBot="1" x14ac:dyDescent="0.3">
      <c r="B23" s="89" t="s">
        <v>76</v>
      </c>
      <c r="C23" s="152">
        <f t="shared" si="2"/>
        <v>22.611116503926564</v>
      </c>
      <c r="D23" s="188">
        <f t="shared" si="2"/>
        <v>40.134152119584911</v>
      </c>
      <c r="E23" s="194">
        <f t="shared" si="3"/>
        <v>49</v>
      </c>
      <c r="F23" s="194">
        <f t="shared" si="3"/>
        <v>135</v>
      </c>
      <c r="G23" s="194">
        <f t="shared" si="3"/>
        <v>370</v>
      </c>
      <c r="H23" s="194">
        <f t="shared" si="3"/>
        <v>1036</v>
      </c>
      <c r="I23" s="266">
        <f t="shared" si="3"/>
        <v>2073</v>
      </c>
      <c r="K23" s="329"/>
      <c r="L23" s="330"/>
      <c r="M23" s="331"/>
      <c r="N23" s="332"/>
      <c r="O23" s="326">
        <f t="shared" si="4"/>
        <v>0</v>
      </c>
      <c r="P23">
        <v>0.432</v>
      </c>
      <c r="Q23">
        <f t="shared" si="5"/>
        <v>8.9020143716246309</v>
      </c>
      <c r="R23">
        <f t="shared" si="6"/>
        <v>22.611116503926564</v>
      </c>
      <c r="S23">
        <f t="shared" si="7"/>
        <v>40.134152119584911</v>
      </c>
    </row>
    <row r="24" spans="2:19" x14ac:dyDescent="0.25">
      <c r="B24" s="301" t="s">
        <v>60</v>
      </c>
      <c r="C24" s="333">
        <f t="shared" si="2"/>
        <v>3.4913930787829157</v>
      </c>
      <c r="D24" s="302">
        <f t="shared" si="2"/>
        <v>0.95690223803639951</v>
      </c>
      <c r="E24" s="334">
        <f t="shared" si="3"/>
        <v>2083</v>
      </c>
      <c r="F24" s="334">
        <f t="shared" si="3"/>
        <v>5701</v>
      </c>
      <c r="G24" s="334">
        <f t="shared" si="3"/>
        <v>15531</v>
      </c>
      <c r="H24" s="334">
        <f t="shared" si="3"/>
        <v>43489</v>
      </c>
      <c r="I24" s="265">
        <f t="shared" si="3"/>
        <v>86979</v>
      </c>
      <c r="K24" s="336"/>
      <c r="L24" s="337"/>
      <c r="M24" s="338"/>
      <c r="N24" s="339"/>
      <c r="O24" s="327">
        <f t="shared" si="4"/>
        <v>0</v>
      </c>
      <c r="P24">
        <v>1.03E-2</v>
      </c>
      <c r="Q24">
        <f>SQRT(P24*4/3.14)*12</f>
        <v>1.3745642042452424</v>
      </c>
      <c r="R24">
        <f t="shared" si="6"/>
        <v>3.4913930787829157</v>
      </c>
      <c r="S24">
        <f t="shared" si="7"/>
        <v>0.95690223803639951</v>
      </c>
    </row>
    <row r="25" spans="2:19" x14ac:dyDescent="0.25">
      <c r="B25" s="90" t="s">
        <v>9</v>
      </c>
      <c r="C25" s="153">
        <f t="shared" si="2"/>
        <v>6.9232122436554446</v>
      </c>
      <c r="D25" s="189">
        <f t="shared" si="2"/>
        <v>3.7625767612110854</v>
      </c>
      <c r="E25" s="195">
        <f t="shared" si="3"/>
        <v>529</v>
      </c>
      <c r="F25" s="195">
        <f t="shared" si="3"/>
        <v>1449</v>
      </c>
      <c r="G25" s="195">
        <f t="shared" si="3"/>
        <v>3950</v>
      </c>
      <c r="H25" s="195">
        <f t="shared" si="3"/>
        <v>11060</v>
      </c>
      <c r="I25" s="268">
        <f t="shared" si="3"/>
        <v>22120</v>
      </c>
      <c r="K25" s="52"/>
      <c r="L25" s="53"/>
      <c r="M25" s="54"/>
      <c r="N25" s="85"/>
      <c r="O25" s="84">
        <f t="shared" si="4"/>
        <v>0</v>
      </c>
      <c r="P25">
        <v>4.0500000000000001E-2</v>
      </c>
      <c r="Q25">
        <f>SQRT(P25*4/3.14)*12</f>
        <v>2.7256741116753718</v>
      </c>
      <c r="R25">
        <f t="shared" si="6"/>
        <v>6.9232122436554446</v>
      </c>
      <c r="S25">
        <f t="shared" si="7"/>
        <v>3.7625767612110854</v>
      </c>
    </row>
    <row r="26" spans="2:19" x14ac:dyDescent="0.25">
      <c r="B26" s="88" t="s">
        <v>7</v>
      </c>
      <c r="C26" s="151">
        <f t="shared" si="2"/>
        <v>9.0037913033563211</v>
      </c>
      <c r="D26" s="56">
        <f t="shared" si="2"/>
        <v>6.3638643985915895</v>
      </c>
      <c r="E26" s="193">
        <f t="shared" si="3"/>
        <v>313</v>
      </c>
      <c r="F26" s="193">
        <f t="shared" si="3"/>
        <v>857</v>
      </c>
      <c r="G26" s="193">
        <f t="shared" si="3"/>
        <v>2335</v>
      </c>
      <c r="H26" s="193">
        <f t="shared" si="3"/>
        <v>6539</v>
      </c>
      <c r="I26" s="267">
        <f t="shared" si="3"/>
        <v>13078</v>
      </c>
      <c r="K26" s="44"/>
      <c r="L26" s="45"/>
      <c r="M26" s="46"/>
      <c r="N26" s="86"/>
      <c r="O26" s="84">
        <f t="shared" si="4"/>
        <v>0</v>
      </c>
      <c r="P26">
        <v>6.8500000000000005E-2</v>
      </c>
      <c r="Q26">
        <f t="shared" ref="Q26:Q29" si="8">SQRT(P26*4/3.14)*12</f>
        <v>3.5447997257308352</v>
      </c>
      <c r="R26">
        <f t="shared" si="6"/>
        <v>9.0037913033563211</v>
      </c>
      <c r="S26">
        <f t="shared" si="7"/>
        <v>6.3638643985915895</v>
      </c>
    </row>
    <row r="27" spans="2:19" x14ac:dyDescent="0.25">
      <c r="B27" s="90" t="s">
        <v>0</v>
      </c>
      <c r="C27" s="153">
        <f t="shared" si="2"/>
        <v>13.674412536433167</v>
      </c>
      <c r="D27" s="189">
        <f t="shared" si="2"/>
        <v>14.678694525218555</v>
      </c>
      <c r="E27" s="195">
        <f t="shared" si="3"/>
        <v>135</v>
      </c>
      <c r="F27" s="195">
        <f t="shared" si="3"/>
        <v>371</v>
      </c>
      <c r="G27" s="195">
        <f t="shared" si="3"/>
        <v>1012</v>
      </c>
      <c r="H27" s="195">
        <f t="shared" si="3"/>
        <v>2835</v>
      </c>
      <c r="I27" s="268">
        <f t="shared" si="3"/>
        <v>5670</v>
      </c>
      <c r="K27" s="52"/>
      <c r="L27" s="53"/>
      <c r="M27" s="54"/>
      <c r="N27" s="85"/>
      <c r="O27" s="84">
        <f t="shared" si="4"/>
        <v>0</v>
      </c>
      <c r="P27">
        <v>0.158</v>
      </c>
      <c r="Q27">
        <f t="shared" si="8"/>
        <v>5.3836269828477032</v>
      </c>
      <c r="R27">
        <f t="shared" si="6"/>
        <v>13.674412536433167</v>
      </c>
      <c r="S27">
        <f t="shared" si="7"/>
        <v>14.678694525218555</v>
      </c>
    </row>
    <row r="28" spans="2:19" x14ac:dyDescent="0.25">
      <c r="B28" s="88" t="s">
        <v>6</v>
      </c>
      <c r="C28" s="151">
        <f t="shared" si="2"/>
        <v>17.027981767001183</v>
      </c>
      <c r="D28" s="56">
        <f t="shared" si="2"/>
        <v>22.761266827079403</v>
      </c>
      <c r="E28" s="193">
        <f t="shared" si="3"/>
        <v>87</v>
      </c>
      <c r="F28" s="193">
        <f t="shared" si="3"/>
        <v>239</v>
      </c>
      <c r="G28" s="193">
        <f t="shared" si="3"/>
        <v>652</v>
      </c>
      <c r="H28" s="193">
        <f t="shared" si="3"/>
        <v>1828</v>
      </c>
      <c r="I28" s="267">
        <f t="shared" si="3"/>
        <v>3656</v>
      </c>
      <c r="K28" s="44"/>
      <c r="L28" s="45"/>
      <c r="M28" s="46"/>
      <c r="N28" s="86"/>
      <c r="O28" s="84">
        <f t="shared" si="4"/>
        <v>0</v>
      </c>
      <c r="P28">
        <v>0.245</v>
      </c>
      <c r="Q28">
        <f t="shared" si="8"/>
        <v>6.7039298295280254</v>
      </c>
      <c r="R28">
        <f t="shared" si="6"/>
        <v>17.027981767001183</v>
      </c>
      <c r="S28">
        <f t="shared" si="7"/>
        <v>22.761266827079403</v>
      </c>
    </row>
    <row r="29" spans="2:19" x14ac:dyDescent="0.25">
      <c r="B29" s="90" t="s">
        <v>1</v>
      </c>
      <c r="C29" s="153">
        <f t="shared" si="2"/>
        <v>19.460550590858499</v>
      </c>
      <c r="D29" s="189">
        <f t="shared" si="2"/>
        <v>29.729001570062895</v>
      </c>
      <c r="E29" s="195">
        <f t="shared" si="3"/>
        <v>67</v>
      </c>
      <c r="F29" s="195">
        <f t="shared" si="3"/>
        <v>183</v>
      </c>
      <c r="G29" s="195">
        <f t="shared" si="3"/>
        <v>499</v>
      </c>
      <c r="H29" s="195">
        <f t="shared" si="3"/>
        <v>1399</v>
      </c>
      <c r="I29" s="268">
        <f t="shared" si="3"/>
        <v>2799</v>
      </c>
      <c r="K29" s="52"/>
      <c r="L29" s="53"/>
      <c r="M29" s="54"/>
      <c r="N29" s="85"/>
      <c r="O29" s="84">
        <f t="shared" si="4"/>
        <v>0</v>
      </c>
      <c r="P29">
        <v>0.32</v>
      </c>
      <c r="Q29">
        <f t="shared" si="8"/>
        <v>7.6616340908891729</v>
      </c>
      <c r="R29">
        <f t="shared" si="6"/>
        <v>19.460550590858499</v>
      </c>
      <c r="S29">
        <f t="shared" si="7"/>
        <v>29.729001570062895</v>
      </c>
    </row>
    <row r="30" spans="2:19" ht="15.75" thickBot="1" x14ac:dyDescent="0.3">
      <c r="B30" s="304" t="s">
        <v>77</v>
      </c>
      <c r="C30" s="335">
        <f>R30</f>
        <v>20.583614880012263</v>
      </c>
      <c r="D30" s="305">
        <f>S30</f>
        <v>33.259320506507862</v>
      </c>
      <c r="E30" s="193">
        <f t="shared" ref="E30:I31" si="9">INT(E$7/$D30)</f>
        <v>59</v>
      </c>
      <c r="F30" s="193">
        <f t="shared" si="9"/>
        <v>164</v>
      </c>
      <c r="G30" s="193">
        <f t="shared" si="9"/>
        <v>446</v>
      </c>
      <c r="H30" s="193">
        <f t="shared" si="9"/>
        <v>1251</v>
      </c>
      <c r="I30" s="267">
        <f t="shared" si="9"/>
        <v>2502</v>
      </c>
      <c r="K30" s="340"/>
      <c r="L30" s="341"/>
      <c r="M30" s="342"/>
      <c r="N30" s="343"/>
      <c r="O30" s="328">
        <f>(SUM(K30:N30))*D30</f>
        <v>0</v>
      </c>
      <c r="P30">
        <v>0.35799999999999998</v>
      </c>
      <c r="Q30">
        <f>SQRT(P30*4/3.14)*12</f>
        <v>8.1037853858315998</v>
      </c>
      <c r="R30">
        <f>Q30*2.54</f>
        <v>20.583614880012263</v>
      </c>
      <c r="S30">
        <f>P30/0.0107639</f>
        <v>33.259320506507862</v>
      </c>
    </row>
    <row r="31" spans="2:19" x14ac:dyDescent="0.25">
      <c r="B31" s="312" t="s">
        <v>250</v>
      </c>
      <c r="C31" s="308"/>
      <c r="D31" s="361">
        <f>S31</f>
        <v>4.25</v>
      </c>
      <c r="E31" s="347">
        <f t="shared" si="9"/>
        <v>469</v>
      </c>
      <c r="F31" s="350">
        <f t="shared" si="9"/>
        <v>1283</v>
      </c>
      <c r="G31" s="347">
        <f t="shared" si="9"/>
        <v>3497</v>
      </c>
      <c r="H31" s="350">
        <f t="shared" si="9"/>
        <v>9791</v>
      </c>
      <c r="I31" s="350">
        <f t="shared" si="9"/>
        <v>19583</v>
      </c>
      <c r="K31" s="316"/>
      <c r="L31" s="317"/>
      <c r="M31" s="318"/>
      <c r="N31" s="319"/>
      <c r="O31" s="327">
        <f t="shared" ref="O31:O47" si="10">(SUM(K31:N31))*$D31</f>
        <v>0</v>
      </c>
      <c r="P31">
        <f>S31*0.0107639</f>
        <v>4.5746574999999998E-2</v>
      </c>
      <c r="S31">
        <v>4.25</v>
      </c>
    </row>
    <row r="32" spans="2:19" x14ac:dyDescent="0.25">
      <c r="B32" s="313" t="s">
        <v>251</v>
      </c>
      <c r="C32" s="300"/>
      <c r="D32" s="362">
        <f>S32</f>
        <v>2.34</v>
      </c>
      <c r="E32" s="324">
        <f t="shared" ref="E32:I47" si="11">INT(E$7/$D32)</f>
        <v>851</v>
      </c>
      <c r="F32" s="267">
        <f t="shared" si="11"/>
        <v>2331</v>
      </c>
      <c r="G32" s="324">
        <f t="shared" si="11"/>
        <v>6351</v>
      </c>
      <c r="H32" s="267">
        <f t="shared" si="11"/>
        <v>17784</v>
      </c>
      <c r="I32" s="267">
        <f t="shared" si="11"/>
        <v>35568</v>
      </c>
      <c r="K32" s="44"/>
      <c r="L32" s="45"/>
      <c r="M32" s="46"/>
      <c r="N32" s="86"/>
      <c r="O32" s="84">
        <f t="shared" si="10"/>
        <v>0</v>
      </c>
      <c r="P32">
        <f t="shared" ref="P32:P47" si="12">S32*0.0107639</f>
        <v>2.5187525999999998E-2</v>
      </c>
      <c r="S32">
        <v>2.34</v>
      </c>
    </row>
    <row r="33" spans="2:19" x14ac:dyDescent="0.25">
      <c r="B33" s="314" t="s">
        <v>252</v>
      </c>
      <c r="C33" s="311"/>
      <c r="D33" s="363">
        <f t="shared" ref="D33:D47" si="13">S33</f>
        <v>1.58</v>
      </c>
      <c r="E33" s="348">
        <f t="shared" si="11"/>
        <v>1261</v>
      </c>
      <c r="F33" s="351">
        <f t="shared" si="11"/>
        <v>3452</v>
      </c>
      <c r="G33" s="348">
        <f t="shared" si="11"/>
        <v>9406</v>
      </c>
      <c r="H33" s="351">
        <f t="shared" si="11"/>
        <v>26338</v>
      </c>
      <c r="I33" s="351">
        <f t="shared" si="11"/>
        <v>52677</v>
      </c>
      <c r="K33" s="52"/>
      <c r="L33" s="53"/>
      <c r="M33" s="54"/>
      <c r="N33" s="85"/>
      <c r="O33" s="84">
        <f t="shared" si="10"/>
        <v>0</v>
      </c>
      <c r="P33">
        <f t="shared" si="12"/>
        <v>1.7006962E-2</v>
      </c>
      <c r="S33">
        <v>1.58</v>
      </c>
    </row>
    <row r="34" spans="2:19" x14ac:dyDescent="0.25">
      <c r="B34" s="313" t="s">
        <v>253</v>
      </c>
      <c r="C34" s="300"/>
      <c r="D34" s="364">
        <f t="shared" si="13"/>
        <v>1.68</v>
      </c>
      <c r="E34" s="324">
        <f t="shared" si="11"/>
        <v>1186</v>
      </c>
      <c r="F34" s="267">
        <f t="shared" si="11"/>
        <v>3247</v>
      </c>
      <c r="G34" s="324">
        <f t="shared" si="11"/>
        <v>8846</v>
      </c>
      <c r="H34" s="267">
        <f t="shared" si="11"/>
        <v>24770</v>
      </c>
      <c r="I34" s="267">
        <f t="shared" si="11"/>
        <v>49541</v>
      </c>
      <c r="K34" s="44"/>
      <c r="L34" s="45"/>
      <c r="M34" s="46"/>
      <c r="N34" s="86"/>
      <c r="O34" s="84">
        <f t="shared" si="10"/>
        <v>0</v>
      </c>
      <c r="P34">
        <f t="shared" si="12"/>
        <v>1.8083352E-2</v>
      </c>
      <c r="S34">
        <v>1.68</v>
      </c>
    </row>
    <row r="35" spans="2:19" x14ac:dyDescent="0.25">
      <c r="B35" s="314" t="s">
        <v>254</v>
      </c>
      <c r="C35" s="311"/>
      <c r="D35" s="363">
        <f t="shared" si="13"/>
        <v>1.08</v>
      </c>
      <c r="E35" s="348">
        <f t="shared" si="11"/>
        <v>1845</v>
      </c>
      <c r="F35" s="351">
        <f t="shared" si="11"/>
        <v>5051</v>
      </c>
      <c r="G35" s="348">
        <f t="shared" si="11"/>
        <v>13761</v>
      </c>
      <c r="H35" s="351">
        <f t="shared" si="11"/>
        <v>38532</v>
      </c>
      <c r="I35" s="351">
        <f t="shared" si="11"/>
        <v>77065</v>
      </c>
      <c r="K35" s="52"/>
      <c r="L35" s="53"/>
      <c r="M35" s="54"/>
      <c r="N35" s="85"/>
      <c r="O35" s="84">
        <f t="shared" si="10"/>
        <v>0</v>
      </c>
      <c r="P35">
        <f t="shared" si="12"/>
        <v>1.1625012000000001E-2</v>
      </c>
      <c r="S35">
        <v>1.08</v>
      </c>
    </row>
    <row r="36" spans="2:19" x14ac:dyDescent="0.25">
      <c r="B36" s="313" t="s">
        <v>255</v>
      </c>
      <c r="C36" s="300"/>
      <c r="D36" s="364">
        <f t="shared" si="13"/>
        <v>1.02</v>
      </c>
      <c r="E36" s="324">
        <f t="shared" si="11"/>
        <v>1954</v>
      </c>
      <c r="F36" s="267">
        <f t="shared" si="11"/>
        <v>5348</v>
      </c>
      <c r="G36" s="324">
        <f t="shared" si="11"/>
        <v>14571</v>
      </c>
      <c r="H36" s="267">
        <f t="shared" si="11"/>
        <v>40799</v>
      </c>
      <c r="I36" s="267">
        <f t="shared" si="11"/>
        <v>81598</v>
      </c>
      <c r="K36" s="44"/>
      <c r="L36" s="45"/>
      <c r="M36" s="46"/>
      <c r="N36" s="86"/>
      <c r="O36" s="84">
        <f t="shared" si="10"/>
        <v>0</v>
      </c>
      <c r="P36">
        <f t="shared" si="12"/>
        <v>1.0979178000000001E-2</v>
      </c>
      <c r="S36">
        <v>1.02</v>
      </c>
    </row>
    <row r="37" spans="2:19" x14ac:dyDescent="0.25">
      <c r="B37" s="314" t="s">
        <v>256</v>
      </c>
      <c r="C37" s="311"/>
      <c r="D37" s="363">
        <f t="shared" si="13"/>
        <v>0.83</v>
      </c>
      <c r="E37" s="348">
        <f t="shared" si="11"/>
        <v>2401</v>
      </c>
      <c r="F37" s="351">
        <f t="shared" si="11"/>
        <v>6572</v>
      </c>
      <c r="G37" s="348">
        <f t="shared" si="11"/>
        <v>17906</v>
      </c>
      <c r="H37" s="351">
        <f t="shared" si="11"/>
        <v>50138</v>
      </c>
      <c r="I37" s="351">
        <f t="shared" si="11"/>
        <v>100277</v>
      </c>
      <c r="K37" s="52"/>
      <c r="L37" s="53"/>
      <c r="M37" s="54"/>
      <c r="N37" s="85"/>
      <c r="O37" s="84">
        <f t="shared" si="10"/>
        <v>0</v>
      </c>
      <c r="P37">
        <f t="shared" si="12"/>
        <v>8.9340369999999988E-3</v>
      </c>
      <c r="S37">
        <v>0.83</v>
      </c>
    </row>
    <row r="38" spans="2:19" x14ac:dyDescent="0.25">
      <c r="B38" s="313" t="s">
        <v>257</v>
      </c>
      <c r="C38" s="300"/>
      <c r="D38" s="364">
        <f t="shared" si="13"/>
        <v>0.72</v>
      </c>
      <c r="E38" s="324">
        <f t="shared" si="11"/>
        <v>2768</v>
      </c>
      <c r="F38" s="267">
        <f t="shared" si="11"/>
        <v>7577</v>
      </c>
      <c r="G38" s="324">
        <f t="shared" si="11"/>
        <v>20642</v>
      </c>
      <c r="H38" s="267">
        <f t="shared" si="11"/>
        <v>57798</v>
      </c>
      <c r="I38" s="267">
        <f t="shared" si="11"/>
        <v>115597</v>
      </c>
      <c r="K38" s="44"/>
      <c r="L38" s="45"/>
      <c r="M38" s="46"/>
      <c r="N38" s="86"/>
      <c r="O38" s="84">
        <f t="shared" si="10"/>
        <v>0</v>
      </c>
      <c r="P38">
        <f t="shared" si="12"/>
        <v>7.7500079999999992E-3</v>
      </c>
      <c r="S38">
        <v>0.72</v>
      </c>
    </row>
    <row r="39" spans="2:19" x14ac:dyDescent="0.25">
      <c r="B39" s="314" t="s">
        <v>258</v>
      </c>
      <c r="C39" s="311"/>
      <c r="D39" s="363">
        <f t="shared" si="13"/>
        <v>0.6</v>
      </c>
      <c r="E39" s="348">
        <f t="shared" si="11"/>
        <v>3322</v>
      </c>
      <c r="F39" s="351">
        <f t="shared" si="11"/>
        <v>9092</v>
      </c>
      <c r="G39" s="348">
        <f t="shared" si="11"/>
        <v>24770</v>
      </c>
      <c r="H39" s="351">
        <f t="shared" si="11"/>
        <v>69358</v>
      </c>
      <c r="I39" s="351">
        <f t="shared" si="11"/>
        <v>138717</v>
      </c>
      <c r="K39" s="52"/>
      <c r="L39" s="53"/>
      <c r="M39" s="54"/>
      <c r="N39" s="85"/>
      <c r="O39" s="84">
        <f t="shared" si="10"/>
        <v>0</v>
      </c>
      <c r="P39">
        <f t="shared" si="12"/>
        <v>6.4583399999999999E-3</v>
      </c>
      <c r="S39">
        <v>0.6</v>
      </c>
    </row>
    <row r="40" spans="2:19" x14ac:dyDescent="0.25">
      <c r="B40" s="313" t="s">
        <v>259</v>
      </c>
      <c r="C40" s="300"/>
      <c r="D40" s="364">
        <f t="shared" si="13"/>
        <v>0.38</v>
      </c>
      <c r="E40" s="324">
        <f t="shared" si="11"/>
        <v>5245</v>
      </c>
      <c r="F40" s="267">
        <f t="shared" si="11"/>
        <v>14356</v>
      </c>
      <c r="G40" s="324">
        <f t="shared" si="11"/>
        <v>39112</v>
      </c>
      <c r="H40" s="267">
        <f t="shared" si="11"/>
        <v>109513</v>
      </c>
      <c r="I40" s="267">
        <f t="shared" si="11"/>
        <v>219027</v>
      </c>
      <c r="K40" s="44"/>
      <c r="L40" s="45"/>
      <c r="M40" s="46"/>
      <c r="N40" s="86"/>
      <c r="O40" s="84">
        <f t="shared" si="10"/>
        <v>0</v>
      </c>
      <c r="P40">
        <f t="shared" si="12"/>
        <v>4.0902819999999998E-3</v>
      </c>
      <c r="S40">
        <v>0.38</v>
      </c>
    </row>
    <row r="41" spans="2:19" x14ac:dyDescent="0.25">
      <c r="B41" s="314" t="s">
        <v>260</v>
      </c>
      <c r="C41" s="311"/>
      <c r="D41" s="363">
        <f t="shared" si="13"/>
        <v>0.31</v>
      </c>
      <c r="E41" s="348">
        <f t="shared" si="11"/>
        <v>6430</v>
      </c>
      <c r="F41" s="351">
        <f t="shared" si="11"/>
        <v>17598</v>
      </c>
      <c r="G41" s="348">
        <f t="shared" si="11"/>
        <v>47943</v>
      </c>
      <c r="H41" s="351">
        <f t="shared" si="11"/>
        <v>134242</v>
      </c>
      <c r="I41" s="351">
        <f t="shared" si="11"/>
        <v>268485</v>
      </c>
      <c r="K41" s="52"/>
      <c r="L41" s="53"/>
      <c r="M41" s="54"/>
      <c r="N41" s="85"/>
      <c r="O41" s="84">
        <f t="shared" si="10"/>
        <v>0</v>
      </c>
      <c r="P41">
        <f t="shared" si="12"/>
        <v>3.336809E-3</v>
      </c>
      <c r="S41">
        <v>0.31</v>
      </c>
    </row>
    <row r="42" spans="2:19" x14ac:dyDescent="0.25">
      <c r="B42" s="313" t="s">
        <v>261</v>
      </c>
      <c r="C42" s="300"/>
      <c r="D42" s="364">
        <f t="shared" si="13"/>
        <v>0.24</v>
      </c>
      <c r="E42" s="324">
        <f t="shared" si="11"/>
        <v>8305</v>
      </c>
      <c r="F42" s="267">
        <f t="shared" si="11"/>
        <v>22731</v>
      </c>
      <c r="G42" s="324">
        <f t="shared" si="11"/>
        <v>61927</v>
      </c>
      <c r="H42" s="267">
        <f t="shared" si="11"/>
        <v>173396</v>
      </c>
      <c r="I42" s="267">
        <f t="shared" si="11"/>
        <v>346793</v>
      </c>
      <c r="K42" s="44"/>
      <c r="L42" s="45"/>
      <c r="M42" s="46"/>
      <c r="N42" s="86"/>
      <c r="O42" s="84">
        <f t="shared" si="10"/>
        <v>0</v>
      </c>
      <c r="P42">
        <f t="shared" si="12"/>
        <v>2.5833359999999999E-3</v>
      </c>
      <c r="S42">
        <v>0.24</v>
      </c>
    </row>
    <row r="43" spans="2:19" x14ac:dyDescent="0.25">
      <c r="B43" s="314" t="s">
        <v>262</v>
      </c>
      <c r="C43" s="311"/>
      <c r="D43" s="363">
        <f t="shared" si="13"/>
        <v>0.18</v>
      </c>
      <c r="E43" s="348">
        <f t="shared" si="11"/>
        <v>11074</v>
      </c>
      <c r="F43" s="351">
        <f t="shared" si="11"/>
        <v>30308</v>
      </c>
      <c r="G43" s="348">
        <f t="shared" si="11"/>
        <v>82569</v>
      </c>
      <c r="H43" s="351">
        <f t="shared" si="11"/>
        <v>231195</v>
      </c>
      <c r="I43" s="351">
        <f t="shared" si="11"/>
        <v>462391</v>
      </c>
      <c r="K43" s="52"/>
      <c r="L43" s="53"/>
      <c r="M43" s="54"/>
      <c r="N43" s="85"/>
      <c r="O43" s="84">
        <f t="shared" si="10"/>
        <v>0</v>
      </c>
      <c r="P43">
        <f t="shared" si="12"/>
        <v>1.9375019999999998E-3</v>
      </c>
      <c r="S43">
        <v>0.18</v>
      </c>
    </row>
    <row r="44" spans="2:19" x14ac:dyDescent="0.25">
      <c r="B44" s="313" t="s">
        <v>263</v>
      </c>
      <c r="C44" s="300"/>
      <c r="D44" s="364">
        <f t="shared" si="13"/>
        <v>0.11</v>
      </c>
      <c r="E44" s="324">
        <f t="shared" si="11"/>
        <v>18121</v>
      </c>
      <c r="F44" s="267">
        <f t="shared" si="11"/>
        <v>49594</v>
      </c>
      <c r="G44" s="324">
        <f t="shared" si="11"/>
        <v>135114</v>
      </c>
      <c r="H44" s="267">
        <f t="shared" si="11"/>
        <v>378320</v>
      </c>
      <c r="I44" s="267">
        <f t="shared" si="11"/>
        <v>756640</v>
      </c>
      <c r="K44" s="44"/>
      <c r="L44" s="45"/>
      <c r="M44" s="46"/>
      <c r="N44" s="86"/>
      <c r="O44" s="84">
        <f t="shared" si="10"/>
        <v>0</v>
      </c>
      <c r="P44">
        <f t="shared" si="12"/>
        <v>1.1840290000000001E-3</v>
      </c>
      <c r="S44">
        <v>0.11</v>
      </c>
    </row>
    <row r="45" spans="2:19" x14ac:dyDescent="0.25">
      <c r="B45" s="314" t="s">
        <v>264</v>
      </c>
      <c r="C45" s="311"/>
      <c r="D45" s="363">
        <f t="shared" si="13"/>
        <v>0.08</v>
      </c>
      <c r="E45" s="348">
        <f t="shared" si="11"/>
        <v>24916</v>
      </c>
      <c r="F45" s="351">
        <f t="shared" si="11"/>
        <v>68193</v>
      </c>
      <c r="G45" s="348">
        <f t="shared" si="11"/>
        <v>185782</v>
      </c>
      <c r="H45" s="351">
        <f t="shared" si="11"/>
        <v>520190</v>
      </c>
      <c r="I45" s="351">
        <f t="shared" si="11"/>
        <v>1040380</v>
      </c>
      <c r="K45" s="52"/>
      <c r="L45" s="53"/>
      <c r="M45" s="54"/>
      <c r="N45" s="85"/>
      <c r="O45" s="84">
        <f t="shared" si="10"/>
        <v>0</v>
      </c>
      <c r="P45">
        <f t="shared" si="12"/>
        <v>8.6111200000000003E-4</v>
      </c>
      <c r="S45">
        <v>0.08</v>
      </c>
    </row>
    <row r="46" spans="2:19" x14ac:dyDescent="0.25">
      <c r="B46" s="313" t="s">
        <v>265</v>
      </c>
      <c r="C46" s="300"/>
      <c r="D46" s="364">
        <f t="shared" si="13"/>
        <v>0.06</v>
      </c>
      <c r="E46" s="324">
        <f t="shared" si="11"/>
        <v>33222</v>
      </c>
      <c r="F46" s="267">
        <f t="shared" si="11"/>
        <v>90924</v>
      </c>
      <c r="G46" s="324">
        <f t="shared" si="11"/>
        <v>247709</v>
      </c>
      <c r="H46" s="267">
        <f t="shared" si="11"/>
        <v>693587</v>
      </c>
      <c r="I46" s="267">
        <f t="shared" si="11"/>
        <v>1387174</v>
      </c>
      <c r="K46" s="44"/>
      <c r="L46" s="45"/>
      <c r="M46" s="46"/>
      <c r="N46" s="86"/>
      <c r="O46" s="84">
        <f t="shared" si="10"/>
        <v>0</v>
      </c>
      <c r="P46">
        <f t="shared" si="12"/>
        <v>6.4583399999999997E-4</v>
      </c>
      <c r="S46">
        <v>0.06</v>
      </c>
    </row>
    <row r="47" spans="2:19" ht="15.75" thickBot="1" x14ac:dyDescent="0.3">
      <c r="B47" s="315" t="s">
        <v>266</v>
      </c>
      <c r="C47" s="325"/>
      <c r="D47" s="365">
        <f t="shared" si="13"/>
        <v>0.03</v>
      </c>
      <c r="E47" s="349">
        <f t="shared" si="11"/>
        <v>66444</v>
      </c>
      <c r="F47" s="352">
        <f t="shared" si="11"/>
        <v>181848</v>
      </c>
      <c r="G47" s="349">
        <f t="shared" si="11"/>
        <v>495419</v>
      </c>
      <c r="H47" s="352">
        <f t="shared" si="11"/>
        <v>1387174</v>
      </c>
      <c r="I47" s="352">
        <f t="shared" si="11"/>
        <v>2774349</v>
      </c>
      <c r="K47" s="320"/>
      <c r="L47" s="321"/>
      <c r="M47" s="322"/>
      <c r="N47" s="323"/>
      <c r="O47" s="328">
        <f t="shared" si="10"/>
        <v>0</v>
      </c>
      <c r="P47">
        <f t="shared" si="12"/>
        <v>3.2291699999999998E-4</v>
      </c>
      <c r="S47">
        <v>0.03</v>
      </c>
    </row>
    <row r="48" spans="2:19" ht="15.75" thickBot="1" x14ac:dyDescent="0.3">
      <c r="B48" s="101"/>
      <c r="C48" s="39"/>
      <c r="D48" s="39"/>
      <c r="E48" s="97"/>
      <c r="F48" s="97"/>
      <c r="G48" s="97"/>
      <c r="H48" s="97"/>
      <c r="I48" s="98"/>
      <c r="K48" s="379" t="s">
        <v>227</v>
      </c>
      <c r="L48" s="380"/>
      <c r="M48" s="380"/>
      <c r="N48" s="381"/>
      <c r="O48" s="55">
        <f>ROUND(SUM(O10:O30),2)</f>
        <v>0</v>
      </c>
    </row>
    <row r="49" spans="2:15" ht="15.75" thickBot="1" x14ac:dyDescent="0.3">
      <c r="B49" s="96"/>
      <c r="C49" s="97"/>
      <c r="D49" s="97"/>
      <c r="E49" s="97"/>
      <c r="F49" s="97"/>
      <c r="G49" s="97"/>
      <c r="H49" s="97"/>
      <c r="I49" s="98"/>
      <c r="K49" s="379" t="s">
        <v>245</v>
      </c>
      <c r="L49" s="380"/>
      <c r="M49" s="380"/>
      <c r="N49" s="381"/>
      <c r="O49" s="10" t="str">
        <f>IF(O48&lt;=E7,E2,IF(O48&lt;=F7,F2,IF(O48&lt;=G7,G2,IF(O48&lt;=H7,H2,IF(O48&lt;=I7,I2,"N/A")))))</f>
        <v>BD210W Series</v>
      </c>
    </row>
    <row r="50" spans="2:15" ht="15.75" thickBot="1" x14ac:dyDescent="0.3">
      <c r="B50" s="41"/>
      <c r="C50" s="42"/>
      <c r="D50" s="42"/>
      <c r="E50" s="42"/>
      <c r="F50" s="42"/>
      <c r="G50" s="42"/>
      <c r="H50" s="42"/>
      <c r="I50" s="43"/>
      <c r="K50" s="435" t="s">
        <v>235</v>
      </c>
      <c r="L50" s="436"/>
      <c r="M50" s="436"/>
      <c r="N50" s="437"/>
      <c r="O50" s="366">
        <f>IF(O49=E2,O48*((5+14.7)/14.7)/E3/60,IF(O49=F2,O48*((5+14.7)/14.7)/F3/60,IF(O49=G2,O48*((5+14.7)/14.7)/G3/60,IF(O49=H2,O48*((5+14.7)/14.7)/H3/60,IF(O49=I2,O48*((5+14.7)/14.7)/I3/60)))))</f>
        <v>0</v>
      </c>
    </row>
    <row r="52" spans="2:15" ht="15.75" hidden="1" thickBot="1" x14ac:dyDescent="0.3">
      <c r="B52" s="5" t="s">
        <v>82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</row>
    <row r="53" spans="2:15" ht="45.75" hidden="1" customHeight="1" thickBot="1" x14ac:dyDescent="0.3">
      <c r="B53" s="2" t="s">
        <v>33</v>
      </c>
      <c r="C53" s="218" t="s">
        <v>34</v>
      </c>
      <c r="D53" s="2" t="s">
        <v>39</v>
      </c>
      <c r="E53" s="2" t="s">
        <v>49</v>
      </c>
      <c r="F53" s="2" t="s">
        <v>83</v>
      </c>
      <c r="G53" s="2" t="s">
        <v>38</v>
      </c>
      <c r="H53" s="2" t="s">
        <v>47</v>
      </c>
      <c r="I53" s="23" t="s">
        <v>40</v>
      </c>
      <c r="J53" s="11"/>
      <c r="K53" s="438" t="s">
        <v>11</v>
      </c>
      <c r="L53" s="439"/>
      <c r="M53" s="439"/>
      <c r="N53" s="439"/>
      <c r="O53" s="440"/>
    </row>
    <row r="54" spans="2:15" ht="15" hidden="1" customHeight="1" x14ac:dyDescent="0.25">
      <c r="B54" s="441" t="s">
        <v>46</v>
      </c>
      <c r="C54" s="408" t="s">
        <v>12</v>
      </c>
      <c r="D54" s="430">
        <v>0.12</v>
      </c>
      <c r="E54" s="431">
        <v>173</v>
      </c>
      <c r="F54" s="431">
        <v>37</v>
      </c>
      <c r="G54" s="431">
        <v>120</v>
      </c>
      <c r="H54" s="432" t="s">
        <v>16</v>
      </c>
      <c r="I54" s="77" t="s">
        <v>192</v>
      </c>
      <c r="J54" s="17"/>
      <c r="K54" s="428" t="s">
        <v>13</v>
      </c>
      <c r="L54" s="428"/>
      <c r="M54" s="428"/>
      <c r="N54" s="428"/>
      <c r="O54" s="429"/>
    </row>
    <row r="55" spans="2:15" hidden="1" x14ac:dyDescent="0.25">
      <c r="B55" s="442"/>
      <c r="C55" s="409"/>
      <c r="D55" s="416"/>
      <c r="E55" s="418"/>
      <c r="F55" s="418"/>
      <c r="G55" s="418"/>
      <c r="H55" s="420"/>
      <c r="I55" s="78" t="s">
        <v>193</v>
      </c>
      <c r="J55" s="18"/>
      <c r="K55" s="400" t="s">
        <v>14</v>
      </c>
      <c r="L55" s="400"/>
      <c r="M55" s="400"/>
      <c r="N55" s="400"/>
      <c r="O55" s="401"/>
    </row>
    <row r="56" spans="2:15" ht="15" hidden="1" customHeight="1" x14ac:dyDescent="0.25">
      <c r="B56" s="442"/>
      <c r="C56" s="444" t="s">
        <v>15</v>
      </c>
      <c r="D56" s="415">
        <v>0.5</v>
      </c>
      <c r="E56" s="417">
        <v>720</v>
      </c>
      <c r="F56" s="417">
        <v>127</v>
      </c>
      <c r="G56" s="417">
        <v>120</v>
      </c>
      <c r="H56" s="419" t="s">
        <v>16</v>
      </c>
      <c r="I56" s="78" t="s">
        <v>193</v>
      </c>
      <c r="J56" s="18"/>
      <c r="K56" s="400" t="s">
        <v>17</v>
      </c>
      <c r="L56" s="400"/>
      <c r="M56" s="400"/>
      <c r="N56" s="400"/>
      <c r="O56" s="401"/>
    </row>
    <row r="57" spans="2:15" hidden="1" x14ac:dyDescent="0.25">
      <c r="B57" s="442"/>
      <c r="C57" s="409"/>
      <c r="D57" s="416"/>
      <c r="E57" s="418"/>
      <c r="F57" s="418"/>
      <c r="G57" s="418"/>
      <c r="H57" s="420"/>
      <c r="I57" s="78" t="s">
        <v>194</v>
      </c>
      <c r="J57" s="18"/>
      <c r="K57" s="400" t="s">
        <v>18</v>
      </c>
      <c r="L57" s="400"/>
      <c r="M57" s="400"/>
      <c r="N57" s="400"/>
      <c r="O57" s="401"/>
    </row>
    <row r="58" spans="2:15" ht="15.75" hidden="1" thickBot="1" x14ac:dyDescent="0.3">
      <c r="B58" s="443"/>
      <c r="C58" s="74" t="s">
        <v>19</v>
      </c>
      <c r="D58" s="220">
        <v>0.09</v>
      </c>
      <c r="E58" s="223">
        <v>129</v>
      </c>
      <c r="F58" s="223">
        <v>30</v>
      </c>
      <c r="G58" s="223">
        <v>120</v>
      </c>
      <c r="H58" s="76" t="s">
        <v>20</v>
      </c>
      <c r="I58" s="79" t="s">
        <v>192</v>
      </c>
      <c r="J58" s="19"/>
      <c r="K58" s="445"/>
      <c r="L58" s="445"/>
      <c r="M58" s="445"/>
      <c r="N58" s="445"/>
      <c r="O58" s="446"/>
    </row>
    <row r="59" spans="2:15" ht="9.75" hidden="1" customHeight="1" thickBot="1" x14ac:dyDescent="0.3">
      <c r="B59" s="3"/>
      <c r="C59" s="59"/>
      <c r="D59" s="61"/>
      <c r="E59" s="4"/>
      <c r="F59" s="4"/>
      <c r="G59" s="4"/>
      <c r="H59" s="21"/>
      <c r="I59" s="80"/>
      <c r="J59" s="9"/>
      <c r="K59" s="402"/>
      <c r="L59" s="403"/>
      <c r="M59" s="403"/>
      <c r="N59" s="403"/>
      <c r="O59" s="404"/>
    </row>
    <row r="60" spans="2:15" hidden="1" x14ac:dyDescent="0.25">
      <c r="B60" s="405" t="s">
        <v>21</v>
      </c>
      <c r="C60" s="72" t="s">
        <v>53</v>
      </c>
      <c r="D60" s="430">
        <v>0.5</v>
      </c>
      <c r="E60" s="431">
        <v>750</v>
      </c>
      <c r="F60" s="431">
        <v>193</v>
      </c>
      <c r="G60" s="431">
        <v>120</v>
      </c>
      <c r="H60" s="16" t="s">
        <v>22</v>
      </c>
      <c r="I60" s="77" t="s">
        <v>195</v>
      </c>
      <c r="J60" s="67"/>
      <c r="K60" s="428"/>
      <c r="L60" s="428"/>
      <c r="M60" s="428"/>
      <c r="N60" s="428"/>
      <c r="O60" s="429"/>
    </row>
    <row r="61" spans="2:15" hidden="1" x14ac:dyDescent="0.25">
      <c r="B61" s="406"/>
      <c r="C61" s="73" t="s">
        <v>52</v>
      </c>
      <c r="D61" s="416"/>
      <c r="E61" s="418"/>
      <c r="F61" s="418"/>
      <c r="G61" s="418"/>
      <c r="H61" s="15" t="s">
        <v>23</v>
      </c>
      <c r="I61" s="78" t="s">
        <v>193</v>
      </c>
      <c r="J61" s="51"/>
      <c r="K61" s="400"/>
      <c r="L61" s="400"/>
      <c r="M61" s="400"/>
      <c r="N61" s="400"/>
      <c r="O61" s="401"/>
    </row>
    <row r="62" spans="2:15" hidden="1" x14ac:dyDescent="0.25">
      <c r="B62" s="406"/>
      <c r="C62" s="73" t="s">
        <v>51</v>
      </c>
      <c r="D62" s="415">
        <v>0.75</v>
      </c>
      <c r="E62" s="417">
        <v>1080</v>
      </c>
      <c r="F62" s="417">
        <v>282</v>
      </c>
      <c r="G62" s="417">
        <v>120</v>
      </c>
      <c r="H62" s="15" t="s">
        <v>22</v>
      </c>
      <c r="I62" s="78" t="s">
        <v>196</v>
      </c>
      <c r="J62" s="51"/>
      <c r="K62" s="400"/>
      <c r="L62" s="400"/>
      <c r="M62" s="400"/>
      <c r="N62" s="400"/>
      <c r="O62" s="401"/>
    </row>
    <row r="63" spans="2:15" hidden="1" x14ac:dyDescent="0.25">
      <c r="B63" s="406"/>
      <c r="C63" s="73" t="s">
        <v>50</v>
      </c>
      <c r="D63" s="416"/>
      <c r="E63" s="418"/>
      <c r="F63" s="418"/>
      <c r="G63" s="418"/>
      <c r="H63" s="213" t="s">
        <v>24</v>
      </c>
      <c r="I63" s="81" t="s">
        <v>194</v>
      </c>
      <c r="J63" s="51"/>
      <c r="K63" s="400"/>
      <c r="L63" s="400"/>
      <c r="M63" s="400"/>
      <c r="N63" s="400"/>
      <c r="O63" s="401"/>
    </row>
    <row r="64" spans="2:15" hidden="1" x14ac:dyDescent="0.25">
      <c r="B64" s="406"/>
      <c r="C64" s="414" t="s">
        <v>48</v>
      </c>
      <c r="D64" s="219">
        <v>0.14000000000000001</v>
      </c>
      <c r="E64" s="60">
        <v>300</v>
      </c>
      <c r="F64" s="222">
        <v>81</v>
      </c>
      <c r="G64" s="222">
        <v>120</v>
      </c>
      <c r="H64" s="15" t="s">
        <v>22</v>
      </c>
      <c r="I64" s="78" t="s">
        <v>192</v>
      </c>
      <c r="J64" s="51"/>
      <c r="K64" s="400"/>
      <c r="L64" s="400"/>
      <c r="M64" s="400"/>
      <c r="N64" s="400"/>
      <c r="O64" s="401"/>
    </row>
    <row r="65" spans="2:15" hidden="1" x14ac:dyDescent="0.25">
      <c r="B65" s="406"/>
      <c r="C65" s="409"/>
      <c r="D65" s="219">
        <v>0.11</v>
      </c>
      <c r="E65" s="222">
        <v>240</v>
      </c>
      <c r="F65" s="222" t="s">
        <v>81</v>
      </c>
      <c r="G65" s="222">
        <v>240</v>
      </c>
      <c r="H65" s="15" t="s">
        <v>22</v>
      </c>
      <c r="I65" s="78" t="s">
        <v>197</v>
      </c>
      <c r="J65" s="51"/>
      <c r="K65" s="400"/>
      <c r="L65" s="400"/>
      <c r="M65" s="400"/>
      <c r="N65" s="400"/>
      <c r="O65" s="401"/>
    </row>
    <row r="66" spans="2:15" hidden="1" x14ac:dyDescent="0.25">
      <c r="B66" s="406"/>
      <c r="C66" s="414" t="s">
        <v>45</v>
      </c>
      <c r="D66" s="219">
        <v>0.59</v>
      </c>
      <c r="E66" s="222">
        <v>1000</v>
      </c>
      <c r="F66" s="222">
        <v>209</v>
      </c>
      <c r="G66" s="222">
        <v>120</v>
      </c>
      <c r="H66" s="15" t="s">
        <v>22</v>
      </c>
      <c r="I66" s="78" t="s">
        <v>196</v>
      </c>
      <c r="J66" s="51"/>
      <c r="K66" s="400" t="s">
        <v>202</v>
      </c>
      <c r="L66" s="400"/>
      <c r="M66" s="400"/>
      <c r="N66" s="400"/>
      <c r="O66" s="401"/>
    </row>
    <row r="67" spans="2:15" hidden="1" x14ac:dyDescent="0.25">
      <c r="B67" s="406"/>
      <c r="C67" s="409"/>
      <c r="D67" s="219">
        <v>0.49</v>
      </c>
      <c r="E67" s="222">
        <v>825</v>
      </c>
      <c r="F67" s="222">
        <v>191</v>
      </c>
      <c r="G67" s="222">
        <v>240</v>
      </c>
      <c r="H67" s="15" t="s">
        <v>22</v>
      </c>
      <c r="I67" s="81" t="s">
        <v>198</v>
      </c>
      <c r="J67" s="51"/>
      <c r="K67" s="400" t="s">
        <v>203</v>
      </c>
      <c r="L67" s="400"/>
      <c r="M67" s="400"/>
      <c r="N67" s="400"/>
      <c r="O67" s="401"/>
    </row>
    <row r="68" spans="2:15" hidden="1" x14ac:dyDescent="0.25">
      <c r="B68" s="406"/>
      <c r="C68" s="414">
        <v>2400</v>
      </c>
      <c r="D68" s="415">
        <v>1.7</v>
      </c>
      <c r="E68" s="417">
        <v>3500</v>
      </c>
      <c r="F68" s="417">
        <v>716</v>
      </c>
      <c r="G68" s="222">
        <v>120</v>
      </c>
      <c r="H68" s="15" t="s">
        <v>22</v>
      </c>
      <c r="I68" s="81" t="s">
        <v>199</v>
      </c>
      <c r="J68" s="51"/>
      <c r="K68" s="400" t="s">
        <v>204</v>
      </c>
      <c r="L68" s="400"/>
      <c r="M68" s="400"/>
      <c r="N68" s="400"/>
      <c r="O68" s="401"/>
    </row>
    <row r="69" spans="2:15" hidden="1" x14ac:dyDescent="0.25">
      <c r="B69" s="406"/>
      <c r="C69" s="409"/>
      <c r="D69" s="416"/>
      <c r="E69" s="418"/>
      <c r="F69" s="418"/>
      <c r="G69" s="222">
        <v>240</v>
      </c>
      <c r="H69" s="15" t="s">
        <v>22</v>
      </c>
      <c r="I69" s="81" t="s">
        <v>200</v>
      </c>
      <c r="J69" s="51"/>
      <c r="K69" s="400" t="s">
        <v>205</v>
      </c>
      <c r="L69" s="400"/>
      <c r="M69" s="400"/>
      <c r="N69" s="400"/>
      <c r="O69" s="401"/>
    </row>
    <row r="70" spans="2:15" hidden="1" x14ac:dyDescent="0.25">
      <c r="B70" s="406"/>
      <c r="C70" s="414">
        <v>3200</v>
      </c>
      <c r="D70" s="415">
        <v>2.2000000000000002</v>
      </c>
      <c r="E70" s="417">
        <v>4100</v>
      </c>
      <c r="F70" s="417">
        <v>925</v>
      </c>
      <c r="G70" s="222">
        <v>120</v>
      </c>
      <c r="H70" s="15" t="s">
        <v>22</v>
      </c>
      <c r="I70" s="81" t="s">
        <v>199</v>
      </c>
      <c r="J70" s="51"/>
      <c r="K70" s="400" t="s">
        <v>204</v>
      </c>
      <c r="L70" s="400"/>
      <c r="M70" s="400"/>
      <c r="N70" s="400"/>
      <c r="O70" s="401"/>
    </row>
    <row r="71" spans="2:15" ht="15.75" hidden="1" thickBot="1" x14ac:dyDescent="0.3">
      <c r="B71" s="407"/>
      <c r="C71" s="421"/>
      <c r="D71" s="433"/>
      <c r="E71" s="434"/>
      <c r="F71" s="434"/>
      <c r="G71" s="223">
        <v>240</v>
      </c>
      <c r="H71" s="76" t="s">
        <v>22</v>
      </c>
      <c r="I71" s="79" t="s">
        <v>200</v>
      </c>
      <c r="J71" s="51"/>
      <c r="K71" s="400" t="s">
        <v>205</v>
      </c>
      <c r="L71" s="400"/>
      <c r="M71" s="400"/>
      <c r="N71" s="400"/>
      <c r="O71" s="401"/>
    </row>
    <row r="72" spans="2:15" ht="9.75" hidden="1" customHeight="1" thickBot="1" x14ac:dyDescent="0.3">
      <c r="B72" s="3"/>
      <c r="C72" s="59"/>
      <c r="D72" s="61"/>
      <c r="E72" s="4"/>
      <c r="F72" s="4"/>
      <c r="G72" s="4"/>
      <c r="H72" s="21"/>
      <c r="I72" s="80"/>
      <c r="J72" s="8"/>
      <c r="K72" s="402"/>
      <c r="L72" s="403"/>
      <c r="M72" s="403"/>
      <c r="N72" s="403"/>
      <c r="O72" s="404"/>
    </row>
    <row r="73" spans="2:15" hidden="1" x14ac:dyDescent="0.25">
      <c r="B73" s="405" t="s">
        <v>25</v>
      </c>
      <c r="C73" s="408" t="s">
        <v>26</v>
      </c>
      <c r="D73" s="430">
        <v>0.2</v>
      </c>
      <c r="E73" s="431">
        <v>288</v>
      </c>
      <c r="F73" s="431">
        <v>101</v>
      </c>
      <c r="G73" s="431">
        <v>120</v>
      </c>
      <c r="H73" s="432" t="s">
        <v>27</v>
      </c>
      <c r="I73" s="77" t="s">
        <v>192</v>
      </c>
      <c r="J73" s="17"/>
      <c r="K73" s="428" t="s">
        <v>13</v>
      </c>
      <c r="L73" s="428"/>
      <c r="M73" s="428"/>
      <c r="N73" s="428"/>
      <c r="O73" s="429"/>
    </row>
    <row r="74" spans="2:15" hidden="1" x14ac:dyDescent="0.25">
      <c r="B74" s="406"/>
      <c r="C74" s="409"/>
      <c r="D74" s="416"/>
      <c r="E74" s="418"/>
      <c r="F74" s="418"/>
      <c r="G74" s="418"/>
      <c r="H74" s="420"/>
      <c r="I74" s="78" t="s">
        <v>195</v>
      </c>
      <c r="J74" s="18"/>
      <c r="K74" s="400" t="s">
        <v>14</v>
      </c>
      <c r="L74" s="400"/>
      <c r="M74" s="400"/>
      <c r="N74" s="400"/>
      <c r="O74" s="401"/>
    </row>
    <row r="75" spans="2:15" hidden="1" x14ac:dyDescent="0.25">
      <c r="B75" s="406"/>
      <c r="C75" s="414" t="s">
        <v>28</v>
      </c>
      <c r="D75" s="415">
        <v>0.17</v>
      </c>
      <c r="E75" s="417">
        <v>245</v>
      </c>
      <c r="F75" s="417">
        <v>85</v>
      </c>
      <c r="G75" s="417">
        <v>240</v>
      </c>
      <c r="H75" s="419" t="s">
        <v>27</v>
      </c>
      <c r="I75" s="78" t="s">
        <v>197</v>
      </c>
      <c r="J75" s="18"/>
      <c r="K75" s="400" t="s">
        <v>13</v>
      </c>
      <c r="L75" s="400"/>
      <c r="M75" s="400"/>
      <c r="N75" s="400"/>
      <c r="O75" s="401"/>
    </row>
    <row r="76" spans="2:15" hidden="1" x14ac:dyDescent="0.25">
      <c r="B76" s="406"/>
      <c r="C76" s="409"/>
      <c r="D76" s="416"/>
      <c r="E76" s="418"/>
      <c r="F76" s="418"/>
      <c r="G76" s="418"/>
      <c r="H76" s="420"/>
      <c r="I76" s="78" t="s">
        <v>201</v>
      </c>
      <c r="J76" s="18"/>
      <c r="K76" s="400" t="s">
        <v>14</v>
      </c>
      <c r="L76" s="400"/>
      <c r="M76" s="400"/>
      <c r="N76" s="400"/>
      <c r="O76" s="401"/>
    </row>
    <row r="77" spans="2:15" hidden="1" x14ac:dyDescent="0.25">
      <c r="B77" s="406"/>
      <c r="C77" s="73" t="s">
        <v>29</v>
      </c>
      <c r="D77" s="219">
        <v>0.7</v>
      </c>
      <c r="E77" s="222">
        <v>1008</v>
      </c>
      <c r="F77" s="222">
        <v>354</v>
      </c>
      <c r="G77" s="222">
        <v>120</v>
      </c>
      <c r="H77" s="15" t="s">
        <v>27</v>
      </c>
      <c r="I77" s="78" t="s">
        <v>196</v>
      </c>
      <c r="J77" s="18"/>
      <c r="K77" s="400"/>
      <c r="L77" s="400"/>
      <c r="M77" s="400"/>
      <c r="N77" s="400"/>
      <c r="O77" s="401"/>
    </row>
    <row r="78" spans="2:15" ht="15.75" hidden="1" thickBot="1" x14ac:dyDescent="0.3">
      <c r="B78" s="407"/>
      <c r="C78" s="74" t="s">
        <v>30</v>
      </c>
      <c r="D78" s="220">
        <v>0.57999999999999996</v>
      </c>
      <c r="E78" s="223">
        <v>836</v>
      </c>
      <c r="F78" s="223">
        <v>294</v>
      </c>
      <c r="G78" s="223">
        <v>240</v>
      </c>
      <c r="H78" s="76" t="s">
        <v>27</v>
      </c>
      <c r="I78" s="79" t="s">
        <v>198</v>
      </c>
      <c r="J78" s="18"/>
      <c r="K78" s="400"/>
      <c r="L78" s="400"/>
      <c r="M78" s="400"/>
      <c r="N78" s="400"/>
      <c r="O78" s="401"/>
    </row>
    <row r="79" spans="2:15" ht="9.75" hidden="1" customHeight="1" thickBot="1" x14ac:dyDescent="0.3">
      <c r="B79" s="12"/>
      <c r="C79" s="58"/>
      <c r="D79" s="62"/>
      <c r="E79" s="13"/>
      <c r="F79" s="13"/>
      <c r="G79" s="13"/>
      <c r="H79" s="22"/>
      <c r="I79" s="82"/>
      <c r="J79" s="8"/>
      <c r="K79" s="402"/>
      <c r="L79" s="403"/>
      <c r="M79" s="403"/>
      <c r="N79" s="403"/>
      <c r="O79" s="404"/>
    </row>
    <row r="80" spans="2:15" hidden="1" x14ac:dyDescent="0.25">
      <c r="B80" s="405" t="s">
        <v>31</v>
      </c>
      <c r="C80" s="408" t="s">
        <v>41</v>
      </c>
      <c r="D80" s="410">
        <v>0.5</v>
      </c>
      <c r="E80" s="412">
        <v>750</v>
      </c>
      <c r="F80" s="412">
        <v>253</v>
      </c>
      <c r="G80" s="221">
        <v>120</v>
      </c>
      <c r="H80" s="16" t="s">
        <v>36</v>
      </c>
      <c r="I80" s="77" t="s">
        <v>194</v>
      </c>
      <c r="J80" s="17"/>
      <c r="K80" s="427"/>
      <c r="L80" s="428"/>
      <c r="M80" s="428"/>
      <c r="N80" s="428"/>
      <c r="O80" s="429"/>
    </row>
    <row r="81" spans="2:15" hidden="1" x14ac:dyDescent="0.25">
      <c r="B81" s="406"/>
      <c r="C81" s="409"/>
      <c r="D81" s="411"/>
      <c r="E81" s="413"/>
      <c r="F81" s="413"/>
      <c r="G81" s="222">
        <v>240</v>
      </c>
      <c r="H81" s="15" t="s">
        <v>36</v>
      </c>
      <c r="I81" s="78" t="s">
        <v>206</v>
      </c>
      <c r="J81" s="18"/>
      <c r="K81" s="399"/>
      <c r="L81" s="400"/>
      <c r="M81" s="400"/>
      <c r="N81" s="400"/>
      <c r="O81" s="401"/>
    </row>
    <row r="82" spans="2:15" hidden="1" x14ac:dyDescent="0.25">
      <c r="B82" s="406"/>
      <c r="C82" s="414" t="s">
        <v>42</v>
      </c>
      <c r="D82" s="411">
        <v>1.4</v>
      </c>
      <c r="E82" s="413">
        <v>2016</v>
      </c>
      <c r="F82" s="413">
        <v>706</v>
      </c>
      <c r="G82" s="222">
        <v>120</v>
      </c>
      <c r="H82" s="15" t="s">
        <v>35</v>
      </c>
      <c r="I82" s="78" t="s">
        <v>207</v>
      </c>
      <c r="J82" s="18"/>
      <c r="K82" s="399"/>
      <c r="L82" s="400"/>
      <c r="M82" s="400"/>
      <c r="N82" s="400"/>
      <c r="O82" s="401"/>
    </row>
    <row r="83" spans="2:15" hidden="1" x14ac:dyDescent="0.25">
      <c r="B83" s="406"/>
      <c r="C83" s="409"/>
      <c r="D83" s="411"/>
      <c r="E83" s="413"/>
      <c r="F83" s="413"/>
      <c r="G83" s="222">
        <v>240</v>
      </c>
      <c r="H83" s="15" t="s">
        <v>35</v>
      </c>
      <c r="I83" s="78" t="s">
        <v>207</v>
      </c>
      <c r="J83" s="18"/>
      <c r="K83" s="399"/>
      <c r="L83" s="400"/>
      <c r="M83" s="400"/>
      <c r="N83" s="400"/>
      <c r="O83" s="401"/>
    </row>
    <row r="84" spans="2:15" hidden="1" x14ac:dyDescent="0.25">
      <c r="B84" s="406"/>
      <c r="C84" s="414" t="s">
        <v>43</v>
      </c>
      <c r="D84" s="411">
        <v>1.4</v>
      </c>
      <c r="E84" s="413">
        <v>2016</v>
      </c>
      <c r="F84" s="413">
        <v>706</v>
      </c>
      <c r="G84" s="222">
        <v>120</v>
      </c>
      <c r="H84" s="15" t="s">
        <v>37</v>
      </c>
      <c r="I84" s="78" t="s">
        <v>208</v>
      </c>
      <c r="J84" s="18"/>
      <c r="K84" s="399"/>
      <c r="L84" s="400"/>
      <c r="M84" s="400"/>
      <c r="N84" s="400"/>
      <c r="O84" s="401"/>
    </row>
    <row r="85" spans="2:15" ht="15.75" hidden="1" thickBot="1" x14ac:dyDescent="0.3">
      <c r="B85" s="407"/>
      <c r="C85" s="421"/>
      <c r="D85" s="422"/>
      <c r="E85" s="423"/>
      <c r="F85" s="423"/>
      <c r="G85" s="223">
        <v>240</v>
      </c>
      <c r="H85" s="76" t="s">
        <v>37</v>
      </c>
      <c r="I85" s="79" t="s">
        <v>200</v>
      </c>
      <c r="J85" s="20"/>
      <c r="K85" s="424"/>
      <c r="L85" s="425"/>
      <c r="M85" s="425"/>
      <c r="N85" s="425"/>
      <c r="O85" s="426"/>
    </row>
    <row r="86" spans="2:15" hidden="1" x14ac:dyDescent="0.25">
      <c r="B86" s="64" t="s">
        <v>32</v>
      </c>
      <c r="C86" s="65"/>
      <c r="D86" s="65"/>
      <c r="E86" s="65"/>
      <c r="F86" s="65"/>
      <c r="G86" s="65"/>
      <c r="H86" s="65"/>
      <c r="I86" s="65"/>
      <c r="J86" s="66"/>
      <c r="K86" s="66"/>
      <c r="L86" s="66"/>
      <c r="M86" s="66"/>
      <c r="N86" s="66"/>
      <c r="O86" s="67"/>
    </row>
    <row r="87" spans="2:15" ht="15.75" hidden="1" thickBot="1" x14ac:dyDescent="0.3">
      <c r="B87" s="68" t="s">
        <v>44</v>
      </c>
      <c r="C87" s="69"/>
      <c r="D87" s="69"/>
      <c r="E87" s="69"/>
      <c r="F87" s="69"/>
      <c r="G87" s="69"/>
      <c r="H87" s="69"/>
      <c r="I87" s="69"/>
      <c r="J87" s="70"/>
      <c r="K87" s="70"/>
      <c r="L87" s="70"/>
      <c r="M87" s="70"/>
      <c r="N87" s="70"/>
      <c r="O87" s="71"/>
    </row>
    <row r="89" spans="2:15" x14ac:dyDescent="0.25">
      <c r="E89" s="1"/>
      <c r="F89" s="1"/>
      <c r="G89" s="1"/>
      <c r="H89" s="1"/>
      <c r="I89" s="1"/>
    </row>
    <row r="90" spans="2:15" x14ac:dyDescent="0.25">
      <c r="E90" s="1"/>
      <c r="F90" s="1"/>
      <c r="G90" s="1"/>
      <c r="H90" s="1"/>
      <c r="I90" s="1"/>
    </row>
    <row r="91" spans="2:15" x14ac:dyDescent="0.25">
      <c r="E91" s="1"/>
      <c r="F91" s="1"/>
      <c r="G91" s="1"/>
      <c r="H91" s="1"/>
      <c r="I91" s="1"/>
    </row>
    <row r="92" spans="2:15" x14ac:dyDescent="0.25">
      <c r="E92" s="1"/>
      <c r="F92" s="1"/>
      <c r="G92" s="1"/>
      <c r="H92" s="1"/>
      <c r="I92" s="1"/>
    </row>
    <row r="93" spans="2:15" x14ac:dyDescent="0.25">
      <c r="E93" s="1"/>
      <c r="F93" s="1"/>
      <c r="G93" s="1"/>
      <c r="H93" s="1"/>
      <c r="I93" s="1"/>
    </row>
    <row r="94" spans="2:15" x14ac:dyDescent="0.25">
      <c r="E94" s="1"/>
      <c r="F94" s="1"/>
      <c r="G94" s="1"/>
      <c r="H94" s="1"/>
      <c r="I94" s="1"/>
    </row>
    <row r="95" spans="2:15" x14ac:dyDescent="0.25">
      <c r="E95" s="1"/>
      <c r="F95" s="1"/>
      <c r="G95" s="1"/>
      <c r="H95" s="1"/>
      <c r="I95" s="1"/>
    </row>
    <row r="96" spans="2:15" x14ac:dyDescent="0.25">
      <c r="E96" s="1"/>
      <c r="F96" s="1"/>
      <c r="G96" s="1"/>
      <c r="H96" s="1"/>
      <c r="I96" s="1"/>
    </row>
    <row r="97" spans="5:9" x14ac:dyDescent="0.25">
      <c r="E97" s="1"/>
      <c r="F97" s="1"/>
      <c r="G97" s="1"/>
      <c r="H97" s="1"/>
      <c r="I97" s="1"/>
    </row>
    <row r="98" spans="5:9" x14ac:dyDescent="0.25">
      <c r="E98" s="1"/>
      <c r="F98" s="1"/>
      <c r="G98" s="1"/>
      <c r="H98" s="1"/>
      <c r="I98" s="1"/>
    </row>
  </sheetData>
  <sheetProtection algorithmName="SHA-512" hashValue="53psUkMjcWB03yiCm+/x8RMvwRC9EhsRIQJyw7Q6+wM88v9+bwLGHg3WiI23zlhb+5fUjBBaLgNyUYA1gDMU2w==" saltValue="k8eRK9iy/hqVlvwJ5cwmgw==" spinCount="100000" sheet="1" objects="1" scenarios="1" selectLockedCells="1"/>
  <mergeCells count="103">
    <mergeCell ref="C2:D2"/>
    <mergeCell ref="K2:O2"/>
    <mergeCell ref="C3:D3"/>
    <mergeCell ref="K3:O7"/>
    <mergeCell ref="C4:D4"/>
    <mergeCell ref="C5:D5"/>
    <mergeCell ref="C6:D6"/>
    <mergeCell ref="C7:D7"/>
    <mergeCell ref="E9:I9"/>
    <mergeCell ref="K48:N48"/>
    <mergeCell ref="K49:N49"/>
    <mergeCell ref="K50:N50"/>
    <mergeCell ref="K53:O53"/>
    <mergeCell ref="B54:B58"/>
    <mergeCell ref="C54:C55"/>
    <mergeCell ref="D54:D55"/>
    <mergeCell ref="E54:E55"/>
    <mergeCell ref="F54:F55"/>
    <mergeCell ref="G54:G55"/>
    <mergeCell ref="H54:H55"/>
    <mergeCell ref="K54:O54"/>
    <mergeCell ref="K55:O55"/>
    <mergeCell ref="C56:C57"/>
    <mergeCell ref="D56:D57"/>
    <mergeCell ref="E56:E57"/>
    <mergeCell ref="F56:F57"/>
    <mergeCell ref="G56:G57"/>
    <mergeCell ref="H56:H57"/>
    <mergeCell ref="K56:O56"/>
    <mergeCell ref="K57:O57"/>
    <mergeCell ref="K58:O58"/>
    <mergeCell ref="K59:O59"/>
    <mergeCell ref="B60:B71"/>
    <mergeCell ref="D60:D61"/>
    <mergeCell ref="E60:E61"/>
    <mergeCell ref="F60:F61"/>
    <mergeCell ref="G60:G61"/>
    <mergeCell ref="K60:O60"/>
    <mergeCell ref="K61:O61"/>
    <mergeCell ref="C64:C65"/>
    <mergeCell ref="K64:O64"/>
    <mergeCell ref="K65:O65"/>
    <mergeCell ref="C66:C67"/>
    <mergeCell ref="K66:O66"/>
    <mergeCell ref="K67:O67"/>
    <mergeCell ref="D62:D63"/>
    <mergeCell ref="E62:E63"/>
    <mergeCell ref="F62:F63"/>
    <mergeCell ref="G62:G63"/>
    <mergeCell ref="K62:O62"/>
    <mergeCell ref="K63:O63"/>
    <mergeCell ref="C70:C71"/>
    <mergeCell ref="D70:D71"/>
    <mergeCell ref="E70:E71"/>
    <mergeCell ref="F70:F71"/>
    <mergeCell ref="K73:O73"/>
    <mergeCell ref="K74:O74"/>
    <mergeCell ref="K75:O75"/>
    <mergeCell ref="K76:O76"/>
    <mergeCell ref="K77:O77"/>
    <mergeCell ref="K78:O78"/>
    <mergeCell ref="K70:O70"/>
    <mergeCell ref="K71:O71"/>
    <mergeCell ref="C68:C69"/>
    <mergeCell ref="D68:D69"/>
    <mergeCell ref="E68:E69"/>
    <mergeCell ref="F68:F69"/>
    <mergeCell ref="K68:O68"/>
    <mergeCell ref="K69:O69"/>
    <mergeCell ref="K72:O72"/>
    <mergeCell ref="E82:E83"/>
    <mergeCell ref="F82:F83"/>
    <mergeCell ref="B73:B78"/>
    <mergeCell ref="C73:C74"/>
    <mergeCell ref="D73:D74"/>
    <mergeCell ref="E73:E74"/>
    <mergeCell ref="F73:F74"/>
    <mergeCell ref="G73:G74"/>
    <mergeCell ref="H73:H74"/>
    <mergeCell ref="K82:O82"/>
    <mergeCell ref="K83:O83"/>
    <mergeCell ref="K79:O79"/>
    <mergeCell ref="B80:B85"/>
    <mergeCell ref="C80:C81"/>
    <mergeCell ref="D80:D81"/>
    <mergeCell ref="E80:E81"/>
    <mergeCell ref="F80:F81"/>
    <mergeCell ref="C75:C76"/>
    <mergeCell ref="D75:D76"/>
    <mergeCell ref="E75:E76"/>
    <mergeCell ref="F75:F76"/>
    <mergeCell ref="G75:G76"/>
    <mergeCell ref="H75:H76"/>
    <mergeCell ref="C84:C85"/>
    <mergeCell ref="D84:D85"/>
    <mergeCell ref="E84:E85"/>
    <mergeCell ref="F84:F85"/>
    <mergeCell ref="K84:O84"/>
    <mergeCell ref="K85:O85"/>
    <mergeCell ref="K80:O80"/>
    <mergeCell ref="K81:O81"/>
    <mergeCell ref="C82:C83"/>
    <mergeCell ref="D82:D8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ED99-307F-459F-983A-7B535D705C0E}">
  <dimension ref="B1:S81"/>
  <sheetViews>
    <sheetView showGridLines="0" zoomScaleNormal="100" workbookViewId="0">
      <selection activeCell="B3" sqref="B3"/>
    </sheetView>
  </sheetViews>
  <sheetFormatPr defaultRowHeight="15" x14ac:dyDescent="0.25"/>
  <cols>
    <col min="1" max="1" width="5.140625" customWidth="1"/>
    <col min="2" max="2" width="24.28515625" customWidth="1"/>
    <col min="3" max="4" width="11.5703125" customWidth="1"/>
    <col min="5" max="6" width="14.42578125" bestFit="1" customWidth="1"/>
    <col min="7" max="9" width="15.42578125" bestFit="1" customWidth="1"/>
    <col min="10" max="10" width="2.42578125" customWidth="1"/>
    <col min="11" max="14" width="12.140625" customWidth="1"/>
    <col min="15" max="15" width="14.5703125" customWidth="1"/>
    <col min="16" max="17" width="9.140625" hidden="1" customWidth="1"/>
  </cols>
  <sheetData>
    <row r="1" spans="2:17" ht="15.75" thickBot="1" x14ac:dyDescent="0.3"/>
    <row r="2" spans="2:17" ht="15.75" thickBot="1" x14ac:dyDescent="0.3">
      <c r="B2" s="227" t="s">
        <v>79</v>
      </c>
      <c r="C2" s="448" t="s">
        <v>2</v>
      </c>
      <c r="D2" s="449"/>
      <c r="E2" s="228" t="s">
        <v>186</v>
      </c>
      <c r="F2" s="229" t="s">
        <v>187</v>
      </c>
      <c r="G2" s="229" t="s">
        <v>188</v>
      </c>
      <c r="H2" s="229" t="s">
        <v>189</v>
      </c>
      <c r="I2" s="230" t="s">
        <v>190</v>
      </c>
      <c r="K2" s="376" t="s">
        <v>10</v>
      </c>
      <c r="L2" s="377"/>
      <c r="M2" s="377"/>
      <c r="N2" s="377"/>
      <c r="O2" s="378"/>
    </row>
    <row r="3" spans="2:17" ht="15.75" thickBot="1" x14ac:dyDescent="0.3">
      <c r="B3" s="231">
        <v>0.35</v>
      </c>
      <c r="C3" s="450" t="s">
        <v>8</v>
      </c>
      <c r="D3" s="451"/>
      <c r="E3" s="232">
        <f>E4/1440</f>
        <v>0.1388888888888889</v>
      </c>
      <c r="F3" s="233">
        <f>F4/1440</f>
        <v>0.38194444444444442</v>
      </c>
      <c r="G3" s="232">
        <f>G4/1440</f>
        <v>1.0416666666666667</v>
      </c>
      <c r="H3" s="234">
        <f>H4/1440</f>
        <v>2.9166666666666665</v>
      </c>
      <c r="I3" s="233">
        <f>I4/1440</f>
        <v>5.833333333333333</v>
      </c>
      <c r="K3" s="384" t="s">
        <v>80</v>
      </c>
      <c r="L3" s="385"/>
      <c r="M3" s="385"/>
      <c r="N3" s="385"/>
      <c r="O3" s="386"/>
    </row>
    <row r="4" spans="2:17" ht="15.75" thickBot="1" x14ac:dyDescent="0.3">
      <c r="B4" s="452"/>
      <c r="C4" s="450" t="s">
        <v>3</v>
      </c>
      <c r="D4" s="451"/>
      <c r="E4" s="235">
        <v>200</v>
      </c>
      <c r="F4" s="236">
        <v>550</v>
      </c>
      <c r="G4" s="235">
        <v>1500</v>
      </c>
      <c r="H4" s="237">
        <v>4200</v>
      </c>
      <c r="I4" s="238">
        <v>8400</v>
      </c>
      <c r="K4" s="387"/>
      <c r="L4" s="388"/>
      <c r="M4" s="388"/>
      <c r="N4" s="388"/>
      <c r="O4" s="389"/>
    </row>
    <row r="5" spans="2:17" ht="15.75" thickBot="1" x14ac:dyDescent="0.3">
      <c r="B5" s="453"/>
      <c r="C5" s="450" t="s">
        <v>4</v>
      </c>
      <c r="D5" s="451"/>
      <c r="E5" s="239">
        <f>E4*$B$3</f>
        <v>70</v>
      </c>
      <c r="F5" s="240">
        <f>F4*$B$3</f>
        <v>192.5</v>
      </c>
      <c r="G5" s="240">
        <f>G4*$B$3</f>
        <v>525</v>
      </c>
      <c r="H5" s="240">
        <f>H4*$B$3</f>
        <v>1470</v>
      </c>
      <c r="I5" s="241">
        <f>I4*$B$3</f>
        <v>2940</v>
      </c>
      <c r="K5" s="387"/>
      <c r="L5" s="388"/>
      <c r="M5" s="388"/>
      <c r="N5" s="388"/>
      <c r="O5" s="389"/>
    </row>
    <row r="6" spans="2:17" ht="15.75" thickBot="1" x14ac:dyDescent="0.3">
      <c r="B6" s="453"/>
      <c r="C6" s="450" t="s">
        <v>5</v>
      </c>
      <c r="D6" s="451"/>
      <c r="E6" s="32">
        <f>E5*12*12*12</f>
        <v>120960</v>
      </c>
      <c r="F6" s="33">
        <f t="shared" ref="F6" si="0">F5*12*12*12</f>
        <v>332640</v>
      </c>
      <c r="G6" s="34">
        <f>G5*12*12*12</f>
        <v>907200</v>
      </c>
      <c r="H6" s="33">
        <f>H5*12*12*12</f>
        <v>2540160</v>
      </c>
      <c r="I6" s="35">
        <f>I5*12*12*12</f>
        <v>5080320</v>
      </c>
      <c r="K6" s="390"/>
      <c r="L6" s="391"/>
      <c r="M6" s="391"/>
      <c r="N6" s="391"/>
      <c r="O6" s="392"/>
    </row>
    <row r="7" spans="2:17" ht="30.75" thickBot="1" x14ac:dyDescent="0.3">
      <c r="B7" s="454"/>
      <c r="C7" s="242" t="s">
        <v>140</v>
      </c>
      <c r="D7" s="243" t="s">
        <v>139</v>
      </c>
      <c r="E7" s="455" t="s">
        <v>54</v>
      </c>
      <c r="F7" s="456"/>
      <c r="G7" s="457"/>
      <c r="H7" s="457"/>
      <c r="I7" s="458"/>
      <c r="K7" s="244" t="s">
        <v>59</v>
      </c>
      <c r="L7" s="245" t="s">
        <v>58</v>
      </c>
      <c r="M7" s="245" t="s">
        <v>57</v>
      </c>
      <c r="N7" s="246" t="s">
        <v>56</v>
      </c>
      <c r="O7" s="236" t="s">
        <v>55</v>
      </c>
    </row>
    <row r="8" spans="2:17" x14ac:dyDescent="0.25">
      <c r="B8" s="247" t="s">
        <v>62</v>
      </c>
      <c r="C8" s="248">
        <f>Q8</f>
        <v>0.45929882866467109</v>
      </c>
      <c r="D8" s="249">
        <f t="shared" ref="D8:D30" si="1">(C8^2)*3.14/4/12/12</f>
        <v>1.1500000000000004E-3</v>
      </c>
      <c r="E8" s="38">
        <f>E$5/$D8</f>
        <v>60869.565217391282</v>
      </c>
      <c r="F8" s="38">
        <f t="shared" ref="F8:I8" si="2">F$5/$D8</f>
        <v>167391.30434782602</v>
      </c>
      <c r="G8" s="36">
        <f t="shared" si="2"/>
        <v>456521.73913043464</v>
      </c>
      <c r="H8" s="36">
        <f t="shared" si="2"/>
        <v>1278260.8695652168</v>
      </c>
      <c r="I8" s="38">
        <f t="shared" si="2"/>
        <v>2556521.7391304336</v>
      </c>
      <c r="K8" s="44"/>
      <c r="L8" s="45"/>
      <c r="M8" s="46"/>
      <c r="N8" s="86"/>
      <c r="O8" s="84">
        <f t="shared" ref="O8:O29" si="3">(SUM(K8:N8))*((C8/12)^2)*3.14/4</f>
        <v>0</v>
      </c>
      <c r="P8">
        <v>1.15E-3</v>
      </c>
      <c r="Q8">
        <f>SQRT(P8*4/3.14)*12</f>
        <v>0.45929882866467109</v>
      </c>
    </row>
    <row r="9" spans="2:17" x14ac:dyDescent="0.25">
      <c r="B9" s="250" t="s">
        <v>63</v>
      </c>
      <c r="C9" s="251">
        <f t="shared" ref="C9:C30" si="4">Q9</f>
        <v>0.51395803937873974</v>
      </c>
      <c r="D9" s="252">
        <f t="shared" si="1"/>
        <v>1.4400000000000001E-3</v>
      </c>
      <c r="E9" s="37">
        <f t="shared" ref="E9:I30" si="5">E$5/$D9</f>
        <v>48611.111111111109</v>
      </c>
      <c r="F9" s="37">
        <f t="shared" si="5"/>
        <v>133680.55555555553</v>
      </c>
      <c r="G9" s="37">
        <f t="shared" si="5"/>
        <v>364583.33333333331</v>
      </c>
      <c r="H9" s="37">
        <f t="shared" si="5"/>
        <v>1020833.3333333333</v>
      </c>
      <c r="I9" s="37">
        <f t="shared" si="5"/>
        <v>2041666.6666666665</v>
      </c>
      <c r="K9" s="52"/>
      <c r="L9" s="53"/>
      <c r="M9" s="54"/>
      <c r="N9" s="85"/>
      <c r="O9" s="84">
        <f t="shared" si="3"/>
        <v>0</v>
      </c>
      <c r="P9">
        <v>1.4400000000000001E-3</v>
      </c>
      <c r="Q9">
        <f t="shared" ref="Q9:Q22" si="6">SQRT(P9*4/3.14)*12</f>
        <v>0.51395803937873974</v>
      </c>
    </row>
    <row r="10" spans="2:17" x14ac:dyDescent="0.25">
      <c r="B10" s="247" t="s">
        <v>64</v>
      </c>
      <c r="C10" s="248">
        <f t="shared" si="4"/>
        <v>0.70636776116463507</v>
      </c>
      <c r="D10" s="249">
        <f t="shared" si="1"/>
        <v>2.7200000000000006E-3</v>
      </c>
      <c r="E10" s="38">
        <f t="shared" si="5"/>
        <v>25735.294117647052</v>
      </c>
      <c r="F10" s="38">
        <f t="shared" si="5"/>
        <v>70772.058823529398</v>
      </c>
      <c r="G10" s="38">
        <f t="shared" si="5"/>
        <v>193014.70588235289</v>
      </c>
      <c r="H10" s="38">
        <f t="shared" si="5"/>
        <v>540441.17647058808</v>
      </c>
      <c r="I10" s="38">
        <f t="shared" si="5"/>
        <v>1080882.3529411762</v>
      </c>
      <c r="K10" s="44"/>
      <c r="L10" s="45"/>
      <c r="M10" s="46"/>
      <c r="N10" s="86"/>
      <c r="O10" s="84">
        <f t="shared" si="3"/>
        <v>0</v>
      </c>
      <c r="P10">
        <v>2.7200000000000002E-3</v>
      </c>
      <c r="Q10">
        <f t="shared" si="6"/>
        <v>0.70636776116463507</v>
      </c>
    </row>
    <row r="11" spans="2:17" x14ac:dyDescent="0.25">
      <c r="B11" s="250" t="s">
        <v>65</v>
      </c>
      <c r="C11" s="251">
        <f t="shared" si="4"/>
        <v>0.93933165018782683</v>
      </c>
      <c r="D11" s="252">
        <f t="shared" si="1"/>
        <v>4.8099999999999992E-3</v>
      </c>
      <c r="E11" s="37">
        <f t="shared" si="5"/>
        <v>14553.014553014555</v>
      </c>
      <c r="F11" s="37">
        <f t="shared" si="5"/>
        <v>40020.790020790031</v>
      </c>
      <c r="G11" s="37">
        <f t="shared" si="5"/>
        <v>109147.60914760917</v>
      </c>
      <c r="H11" s="37">
        <f t="shared" si="5"/>
        <v>305613.30561330565</v>
      </c>
      <c r="I11" s="37">
        <f t="shared" si="5"/>
        <v>611226.61122661131</v>
      </c>
      <c r="K11" s="52"/>
      <c r="L11" s="53"/>
      <c r="M11" s="54"/>
      <c r="N11" s="85"/>
      <c r="O11" s="84">
        <f t="shared" si="3"/>
        <v>0</v>
      </c>
      <c r="P11">
        <v>4.81E-3</v>
      </c>
      <c r="Q11">
        <f t="shared" si="6"/>
        <v>0.93933165018782683</v>
      </c>
    </row>
    <row r="12" spans="2:17" x14ac:dyDescent="0.25">
      <c r="B12" s="247" t="s">
        <v>66</v>
      </c>
      <c r="C12" s="248">
        <f t="shared" si="4"/>
        <v>1.2189585196434967</v>
      </c>
      <c r="D12" s="249">
        <f t="shared" si="1"/>
        <v>8.1000000000000013E-3</v>
      </c>
      <c r="E12" s="38">
        <f t="shared" si="5"/>
        <v>8641.9753086419732</v>
      </c>
      <c r="F12" s="38">
        <f t="shared" si="5"/>
        <v>23765.432098765428</v>
      </c>
      <c r="G12" s="38">
        <f t="shared" si="5"/>
        <v>64814.814814814803</v>
      </c>
      <c r="H12" s="38">
        <f t="shared" si="5"/>
        <v>181481.48148148146</v>
      </c>
      <c r="I12" s="38">
        <f t="shared" si="5"/>
        <v>362962.96296296292</v>
      </c>
      <c r="K12" s="44"/>
      <c r="L12" s="45"/>
      <c r="M12" s="46"/>
      <c r="N12" s="86"/>
      <c r="O12" s="84">
        <f t="shared" si="3"/>
        <v>0</v>
      </c>
      <c r="P12">
        <v>8.0999999999999996E-3</v>
      </c>
      <c r="Q12">
        <f t="shared" si="6"/>
        <v>1.2189585196434967</v>
      </c>
    </row>
    <row r="13" spans="2:17" x14ac:dyDescent="0.25">
      <c r="B13" s="250" t="s">
        <v>67</v>
      </c>
      <c r="C13" s="251">
        <f t="shared" si="4"/>
        <v>1.6807641574195478</v>
      </c>
      <c r="D13" s="252">
        <f t="shared" si="1"/>
        <v>1.5400000000000004E-2</v>
      </c>
      <c r="E13" s="37">
        <f t="shared" si="5"/>
        <v>4545.4545454545441</v>
      </c>
      <c r="F13" s="37">
        <f t="shared" si="5"/>
        <v>12499.999999999996</v>
      </c>
      <c r="G13" s="37">
        <f t="shared" si="5"/>
        <v>34090.909090909081</v>
      </c>
      <c r="H13" s="37">
        <f t="shared" si="5"/>
        <v>95454.545454545427</v>
      </c>
      <c r="I13" s="37">
        <f t="shared" si="5"/>
        <v>190909.09090909085</v>
      </c>
      <c r="K13" s="52"/>
      <c r="L13" s="53"/>
      <c r="M13" s="54"/>
      <c r="N13" s="85"/>
      <c r="O13" s="84">
        <f t="shared" si="3"/>
        <v>0</v>
      </c>
      <c r="P13">
        <v>1.54E-2</v>
      </c>
      <c r="Q13">
        <f t="shared" si="6"/>
        <v>1.6807641574195478</v>
      </c>
    </row>
    <row r="14" spans="2:17" x14ac:dyDescent="0.25">
      <c r="B14" s="247" t="s">
        <v>68</v>
      </c>
      <c r="C14" s="248">
        <f t="shared" si="4"/>
        <v>2.0406068786321927</v>
      </c>
      <c r="D14" s="249">
        <f t="shared" si="1"/>
        <v>2.2700000000000008E-2</v>
      </c>
      <c r="E14" s="38">
        <f t="shared" si="5"/>
        <v>3083.7004405286334</v>
      </c>
      <c r="F14" s="38">
        <f t="shared" si="5"/>
        <v>8480.1762114537414</v>
      </c>
      <c r="G14" s="38">
        <f t="shared" si="5"/>
        <v>23127.75330396475</v>
      </c>
      <c r="H14" s="38">
        <f t="shared" si="5"/>
        <v>64757.709251101296</v>
      </c>
      <c r="I14" s="38">
        <f t="shared" si="5"/>
        <v>129515.41850220259</v>
      </c>
      <c r="K14" s="44"/>
      <c r="L14" s="45"/>
      <c r="M14" s="46"/>
      <c r="N14" s="86"/>
      <c r="O14" s="84">
        <f t="shared" si="3"/>
        <v>0</v>
      </c>
      <c r="P14">
        <v>2.2700000000000001E-2</v>
      </c>
      <c r="Q14">
        <f t="shared" si="6"/>
        <v>2.0406068786321927</v>
      </c>
    </row>
    <row r="15" spans="2:17" x14ac:dyDescent="0.25">
      <c r="B15" s="250" t="s">
        <v>69</v>
      </c>
      <c r="C15" s="251">
        <f t="shared" si="4"/>
        <v>2.3961752963744982</v>
      </c>
      <c r="D15" s="252">
        <f t="shared" si="1"/>
        <v>3.1300000000000001E-2</v>
      </c>
      <c r="E15" s="37">
        <f t="shared" si="5"/>
        <v>2236.4217252396165</v>
      </c>
      <c r="F15" s="37">
        <f t="shared" si="5"/>
        <v>6150.1597444089457</v>
      </c>
      <c r="G15" s="37">
        <f t="shared" si="5"/>
        <v>16773.162939297123</v>
      </c>
      <c r="H15" s="37">
        <f t="shared" si="5"/>
        <v>46964.856230031946</v>
      </c>
      <c r="I15" s="37">
        <f t="shared" si="5"/>
        <v>93929.712460063893</v>
      </c>
      <c r="K15" s="52"/>
      <c r="L15" s="53"/>
      <c r="M15" s="54"/>
      <c r="N15" s="85"/>
      <c r="O15" s="84">
        <f t="shared" si="3"/>
        <v>0</v>
      </c>
      <c r="P15">
        <v>3.1300000000000001E-2</v>
      </c>
      <c r="Q15">
        <f t="shared" si="6"/>
        <v>2.3961752963744982</v>
      </c>
    </row>
    <row r="16" spans="2:17" x14ac:dyDescent="0.25">
      <c r="B16" s="247" t="s">
        <v>70</v>
      </c>
      <c r="C16" s="248">
        <f t="shared" si="4"/>
        <v>2.6087554687132717</v>
      </c>
      <c r="D16" s="249">
        <f t="shared" si="1"/>
        <v>3.7100000000000008E-2</v>
      </c>
      <c r="E16" s="38">
        <f t="shared" si="5"/>
        <v>1886.7924528301883</v>
      </c>
      <c r="F16" s="38">
        <f t="shared" si="5"/>
        <v>5188.6792452830177</v>
      </c>
      <c r="G16" s="38">
        <f t="shared" si="5"/>
        <v>14150.943396226412</v>
      </c>
      <c r="H16" s="38">
        <f t="shared" si="5"/>
        <v>39622.641509433954</v>
      </c>
      <c r="I16" s="38">
        <f t="shared" si="5"/>
        <v>79245.283018867907</v>
      </c>
      <c r="K16" s="44"/>
      <c r="L16" s="45"/>
      <c r="M16" s="46"/>
      <c r="N16" s="86"/>
      <c r="O16" s="84">
        <f t="shared" si="3"/>
        <v>0</v>
      </c>
      <c r="P16">
        <v>3.7100000000000001E-2</v>
      </c>
      <c r="Q16">
        <f t="shared" si="6"/>
        <v>2.6087554687132717</v>
      </c>
    </row>
    <row r="17" spans="2:19" x14ac:dyDescent="0.25">
      <c r="B17" s="250" t="s">
        <v>71</v>
      </c>
      <c r="C17" s="251">
        <f t="shared" si="4"/>
        <v>3.0766016490612444</v>
      </c>
      <c r="D17" s="252">
        <f t="shared" si="1"/>
        <v>5.1599999999999986E-2</v>
      </c>
      <c r="E17" s="37">
        <f t="shared" si="5"/>
        <v>1356.589147286822</v>
      </c>
      <c r="F17" s="37">
        <f t="shared" si="5"/>
        <v>3730.6201550387609</v>
      </c>
      <c r="G17" s="37">
        <f t="shared" si="5"/>
        <v>10174.418604651166</v>
      </c>
      <c r="H17" s="37">
        <f t="shared" si="5"/>
        <v>28488.372093023263</v>
      </c>
      <c r="I17" s="37">
        <f t="shared" si="5"/>
        <v>56976.744186046526</v>
      </c>
      <c r="K17" s="52"/>
      <c r="L17" s="53"/>
      <c r="M17" s="54"/>
      <c r="N17" s="85"/>
      <c r="O17" s="84">
        <f t="shared" si="3"/>
        <v>0</v>
      </c>
      <c r="P17">
        <v>5.16E-2</v>
      </c>
      <c r="Q17">
        <f t="shared" si="6"/>
        <v>3.0766016490612444</v>
      </c>
    </row>
    <row r="18" spans="2:19" x14ac:dyDescent="0.25">
      <c r="B18" s="247" t="s">
        <v>72</v>
      </c>
      <c r="C18" s="248">
        <f t="shared" si="4"/>
        <v>3.9230821108418881</v>
      </c>
      <c r="D18" s="249">
        <f t="shared" si="1"/>
        <v>8.3900000000000016E-2</v>
      </c>
      <c r="E18" s="38">
        <f t="shared" si="5"/>
        <v>834.3265792610249</v>
      </c>
      <c r="F18" s="38">
        <f t="shared" si="5"/>
        <v>2294.3980929678182</v>
      </c>
      <c r="G18" s="38">
        <f t="shared" si="5"/>
        <v>6257.4493444576865</v>
      </c>
      <c r="H18" s="38">
        <f t="shared" si="5"/>
        <v>17520.858164481524</v>
      </c>
      <c r="I18" s="38">
        <f t="shared" si="5"/>
        <v>35041.716328963048</v>
      </c>
      <c r="K18" s="44"/>
      <c r="L18" s="45"/>
      <c r="M18" s="46"/>
      <c r="N18" s="86"/>
      <c r="O18" s="84">
        <f t="shared" si="3"/>
        <v>0</v>
      </c>
      <c r="P18">
        <v>8.3900000000000002E-2</v>
      </c>
      <c r="Q18">
        <f t="shared" si="6"/>
        <v>3.9230821108418881</v>
      </c>
    </row>
    <row r="19" spans="2:19" x14ac:dyDescent="0.25">
      <c r="B19" s="250" t="s">
        <v>73</v>
      </c>
      <c r="C19" s="251">
        <f t="shared" si="4"/>
        <v>5.0313665819068145</v>
      </c>
      <c r="D19" s="252">
        <f t="shared" si="1"/>
        <v>0.13799999999999998</v>
      </c>
      <c r="E19" s="37">
        <f t="shared" si="5"/>
        <v>507.24637681159425</v>
      </c>
      <c r="F19" s="37">
        <f t="shared" si="5"/>
        <v>1394.9275362318842</v>
      </c>
      <c r="G19" s="37">
        <f t="shared" si="5"/>
        <v>3804.347826086957</v>
      </c>
      <c r="H19" s="37">
        <f t="shared" si="5"/>
        <v>10652.17391304348</v>
      </c>
      <c r="I19" s="37">
        <f t="shared" si="5"/>
        <v>21304.34782608696</v>
      </c>
      <c r="K19" s="52"/>
      <c r="L19" s="53"/>
      <c r="M19" s="54"/>
      <c r="N19" s="85"/>
      <c r="O19" s="84">
        <f t="shared" si="3"/>
        <v>0</v>
      </c>
      <c r="P19">
        <v>0.13800000000000001</v>
      </c>
      <c r="Q19">
        <f t="shared" si="6"/>
        <v>5.0313665819068145</v>
      </c>
    </row>
    <row r="20" spans="2:19" x14ac:dyDescent="0.25">
      <c r="B20" s="247" t="s">
        <v>74</v>
      </c>
      <c r="C20" s="248">
        <f t="shared" si="4"/>
        <v>5.8097217009111732</v>
      </c>
      <c r="D20" s="249">
        <f t="shared" si="1"/>
        <v>0.18400000000000002</v>
      </c>
      <c r="E20" s="38">
        <f t="shared" si="5"/>
        <v>380.43478260869563</v>
      </c>
      <c r="F20" s="38">
        <f t="shared" si="5"/>
        <v>1046.195652173913</v>
      </c>
      <c r="G20" s="38">
        <f t="shared" si="5"/>
        <v>2853.260869565217</v>
      </c>
      <c r="H20" s="38">
        <f t="shared" si="5"/>
        <v>7989.1304347826081</v>
      </c>
      <c r="I20" s="38">
        <f t="shared" si="5"/>
        <v>15978.260869565216</v>
      </c>
      <c r="K20" s="44"/>
      <c r="L20" s="45"/>
      <c r="M20" s="46"/>
      <c r="N20" s="86"/>
      <c r="O20" s="84">
        <f t="shared" si="3"/>
        <v>0</v>
      </c>
      <c r="P20">
        <v>0.184</v>
      </c>
      <c r="Q20">
        <f t="shared" si="6"/>
        <v>5.8097217009111732</v>
      </c>
    </row>
    <row r="21" spans="2:19" x14ac:dyDescent="0.25">
      <c r="B21" s="250" t="s">
        <v>75</v>
      </c>
      <c r="C21" s="251">
        <f t="shared" si="4"/>
        <v>7.7212586017374436</v>
      </c>
      <c r="D21" s="252">
        <f t="shared" si="1"/>
        <v>0.32500000000000001</v>
      </c>
      <c r="E21" s="37">
        <f t="shared" si="5"/>
        <v>215.38461538461539</v>
      </c>
      <c r="F21" s="37">
        <f t="shared" si="5"/>
        <v>592.30769230769226</v>
      </c>
      <c r="G21" s="37">
        <f t="shared" si="5"/>
        <v>1615.3846153846152</v>
      </c>
      <c r="H21" s="37">
        <f t="shared" si="5"/>
        <v>4523.0769230769229</v>
      </c>
      <c r="I21" s="37">
        <f t="shared" si="5"/>
        <v>9046.1538461538457</v>
      </c>
      <c r="K21" s="52"/>
      <c r="L21" s="53"/>
      <c r="M21" s="54"/>
      <c r="N21" s="85"/>
      <c r="O21" s="84">
        <f t="shared" si="3"/>
        <v>0</v>
      </c>
      <c r="P21">
        <v>0.32500000000000001</v>
      </c>
      <c r="Q21">
        <f t="shared" si="6"/>
        <v>7.7212586017374436</v>
      </c>
    </row>
    <row r="22" spans="2:19" x14ac:dyDescent="0.25">
      <c r="B22" s="247" t="s">
        <v>76</v>
      </c>
      <c r="C22" s="248">
        <f t="shared" si="4"/>
        <v>8.9020143716246309</v>
      </c>
      <c r="D22" s="249">
        <f t="shared" si="1"/>
        <v>0.43200000000000011</v>
      </c>
      <c r="E22" s="38">
        <f t="shared" si="5"/>
        <v>162.03703703703701</v>
      </c>
      <c r="F22" s="38">
        <f t="shared" si="5"/>
        <v>445.60185185185173</v>
      </c>
      <c r="G22" s="38">
        <f t="shared" si="5"/>
        <v>1215.2777777777774</v>
      </c>
      <c r="H22" s="38">
        <f t="shared" si="5"/>
        <v>3402.7777777777769</v>
      </c>
      <c r="I22" s="38">
        <f t="shared" si="5"/>
        <v>6805.5555555555538</v>
      </c>
      <c r="K22" s="44"/>
      <c r="L22" s="45"/>
      <c r="M22" s="46"/>
      <c r="N22" s="86"/>
      <c r="O22" s="84">
        <f t="shared" si="3"/>
        <v>0</v>
      </c>
      <c r="P22">
        <v>0.432</v>
      </c>
      <c r="Q22">
        <f t="shared" si="6"/>
        <v>8.9020143716246309</v>
      </c>
    </row>
    <row r="23" spans="2:19" x14ac:dyDescent="0.25">
      <c r="B23" s="253" t="s">
        <v>61</v>
      </c>
      <c r="C23" s="254">
        <f t="shared" si="4"/>
        <v>0.7037660294471606</v>
      </c>
      <c r="D23" s="255">
        <f t="shared" si="1"/>
        <v>2.7000000000000006E-3</v>
      </c>
      <c r="E23" s="91">
        <f t="shared" si="5"/>
        <v>25925.92592592592</v>
      </c>
      <c r="F23" s="91">
        <f t="shared" si="5"/>
        <v>71296.296296296277</v>
      </c>
      <c r="G23" s="91">
        <f t="shared" si="5"/>
        <v>194444.44444444441</v>
      </c>
      <c r="H23" s="91">
        <f t="shared" si="5"/>
        <v>544444.44444444438</v>
      </c>
      <c r="I23" s="91">
        <f t="shared" si="5"/>
        <v>1088888.8888888888</v>
      </c>
      <c r="K23" s="92"/>
      <c r="L23" s="93"/>
      <c r="M23" s="94"/>
      <c r="N23" s="95"/>
      <c r="O23" s="84">
        <f t="shared" si="3"/>
        <v>0</v>
      </c>
      <c r="P23">
        <v>2.7000000000000001E-3</v>
      </c>
      <c r="Q23">
        <f>SQRT(P23*4/3.14)*12</f>
        <v>0.7037660294471606</v>
      </c>
    </row>
    <row r="24" spans="2:19" x14ac:dyDescent="0.25">
      <c r="B24" s="247" t="s">
        <v>60</v>
      </c>
      <c r="C24" s="248">
        <f t="shared" si="4"/>
        <v>1.3745642042452424</v>
      </c>
      <c r="D24" s="249">
        <f t="shared" si="1"/>
        <v>1.0299999999999998E-2</v>
      </c>
      <c r="E24" s="38">
        <f t="shared" si="5"/>
        <v>6796.1165048543699</v>
      </c>
      <c r="F24" s="38">
        <f t="shared" si="5"/>
        <v>18689.320388349519</v>
      </c>
      <c r="G24" s="38">
        <f t="shared" si="5"/>
        <v>50970.873786407778</v>
      </c>
      <c r="H24" s="38">
        <f t="shared" si="5"/>
        <v>142718.44660194177</v>
      </c>
      <c r="I24" s="38">
        <f t="shared" si="5"/>
        <v>285436.89320388355</v>
      </c>
      <c r="K24" s="44"/>
      <c r="L24" s="45"/>
      <c r="M24" s="46"/>
      <c r="N24" s="86"/>
      <c r="O24" s="84">
        <f t="shared" si="3"/>
        <v>0</v>
      </c>
      <c r="P24">
        <v>1.03E-2</v>
      </c>
      <c r="Q24">
        <f>SQRT(P24*4/3.14)*12</f>
        <v>1.3745642042452424</v>
      </c>
    </row>
    <row r="25" spans="2:19" x14ac:dyDescent="0.25">
      <c r="B25" s="253" t="s">
        <v>9</v>
      </c>
      <c r="C25" s="254">
        <f t="shared" si="4"/>
        <v>2.7256741116753718</v>
      </c>
      <c r="D25" s="255">
        <f t="shared" si="1"/>
        <v>4.0500000000000015E-2</v>
      </c>
      <c r="E25" s="91">
        <f t="shared" si="5"/>
        <v>1728.3950617283945</v>
      </c>
      <c r="F25" s="91">
        <f t="shared" si="5"/>
        <v>4753.0864197530846</v>
      </c>
      <c r="G25" s="91">
        <f t="shared" si="5"/>
        <v>12962.962962962958</v>
      </c>
      <c r="H25" s="91">
        <f t="shared" si="5"/>
        <v>36296.296296296285</v>
      </c>
      <c r="I25" s="91">
        <f t="shared" si="5"/>
        <v>72592.592592592569</v>
      </c>
      <c r="K25" s="92"/>
      <c r="L25" s="93"/>
      <c r="M25" s="94"/>
      <c r="N25" s="95"/>
      <c r="O25" s="84">
        <f t="shared" si="3"/>
        <v>0</v>
      </c>
      <c r="P25">
        <v>4.0500000000000001E-2</v>
      </c>
      <c r="Q25">
        <f>SQRT(P25*4/3.14)*12</f>
        <v>2.7256741116753718</v>
      </c>
    </row>
    <row r="26" spans="2:19" x14ac:dyDescent="0.25">
      <c r="B26" s="247" t="s">
        <v>7</v>
      </c>
      <c r="C26" s="248">
        <f t="shared" si="4"/>
        <v>3.5447997257308352</v>
      </c>
      <c r="D26" s="249">
        <f t="shared" si="1"/>
        <v>6.8500000000000033E-2</v>
      </c>
      <c r="E26" s="38">
        <f t="shared" si="5"/>
        <v>1021.8978102189776</v>
      </c>
      <c r="F26" s="38">
        <f t="shared" si="5"/>
        <v>2810.2189781021884</v>
      </c>
      <c r="G26" s="38">
        <f t="shared" si="5"/>
        <v>7664.2335766423321</v>
      </c>
      <c r="H26" s="38">
        <f t="shared" si="5"/>
        <v>21459.854014598528</v>
      </c>
      <c r="I26" s="38">
        <f t="shared" si="5"/>
        <v>42919.708029197056</v>
      </c>
      <c r="K26" s="44"/>
      <c r="L26" s="45"/>
      <c r="M26" s="46"/>
      <c r="N26" s="86"/>
      <c r="O26" s="84">
        <f t="shared" si="3"/>
        <v>0</v>
      </c>
      <c r="P26">
        <v>6.8500000000000005E-2</v>
      </c>
      <c r="Q26">
        <f t="shared" ref="Q26:Q30" si="7">SQRT(P26*4/3.14)*12</f>
        <v>3.5447997257308352</v>
      </c>
    </row>
    <row r="27" spans="2:19" x14ac:dyDescent="0.25">
      <c r="B27" s="253" t="s">
        <v>0</v>
      </c>
      <c r="C27" s="254">
        <f t="shared" si="4"/>
        <v>5.3836269828477032</v>
      </c>
      <c r="D27" s="255">
        <f t="shared" si="1"/>
        <v>0.158</v>
      </c>
      <c r="E27" s="91">
        <f t="shared" si="5"/>
        <v>443.03797468354429</v>
      </c>
      <c r="F27" s="91">
        <f t="shared" si="5"/>
        <v>1218.3544303797469</v>
      </c>
      <c r="G27" s="91">
        <f t="shared" si="5"/>
        <v>3322.7848101265822</v>
      </c>
      <c r="H27" s="91">
        <f t="shared" si="5"/>
        <v>9303.7974683544307</v>
      </c>
      <c r="I27" s="91">
        <f t="shared" si="5"/>
        <v>18607.594936708861</v>
      </c>
      <c r="K27" s="92"/>
      <c r="L27" s="93"/>
      <c r="M27" s="94"/>
      <c r="N27" s="95"/>
      <c r="O27" s="84">
        <f t="shared" si="3"/>
        <v>0</v>
      </c>
      <c r="P27">
        <v>0.158</v>
      </c>
      <c r="Q27">
        <f t="shared" si="7"/>
        <v>5.3836269828477032</v>
      </c>
    </row>
    <row r="28" spans="2:19" x14ac:dyDescent="0.25">
      <c r="B28" s="247" t="s">
        <v>6</v>
      </c>
      <c r="C28" s="248">
        <f t="shared" si="4"/>
        <v>6.7039298295280254</v>
      </c>
      <c r="D28" s="249">
        <f t="shared" si="1"/>
        <v>0.24499999999999997</v>
      </c>
      <c r="E28" s="38">
        <f t="shared" si="5"/>
        <v>285.71428571428578</v>
      </c>
      <c r="F28" s="38">
        <f t="shared" si="5"/>
        <v>785.71428571428578</v>
      </c>
      <c r="G28" s="38">
        <f t="shared" si="5"/>
        <v>2142.8571428571431</v>
      </c>
      <c r="H28" s="38">
        <f t="shared" si="5"/>
        <v>6000.0000000000009</v>
      </c>
      <c r="I28" s="38">
        <f t="shared" si="5"/>
        <v>12000.000000000002</v>
      </c>
      <c r="K28" s="44"/>
      <c r="L28" s="45"/>
      <c r="M28" s="46"/>
      <c r="N28" s="86"/>
      <c r="O28" s="84">
        <f t="shared" si="3"/>
        <v>0</v>
      </c>
      <c r="P28">
        <v>0.245</v>
      </c>
      <c r="Q28">
        <f t="shared" si="7"/>
        <v>6.7039298295280254</v>
      </c>
    </row>
    <row r="29" spans="2:19" x14ac:dyDescent="0.25">
      <c r="B29" s="253" t="s">
        <v>1</v>
      </c>
      <c r="C29" s="254">
        <f t="shared" si="4"/>
        <v>7.6616340908891729</v>
      </c>
      <c r="D29" s="255">
        <f t="shared" si="1"/>
        <v>0.32</v>
      </c>
      <c r="E29" s="91">
        <f t="shared" si="5"/>
        <v>218.75</v>
      </c>
      <c r="F29" s="91">
        <f t="shared" si="5"/>
        <v>601.5625</v>
      </c>
      <c r="G29" s="91">
        <f t="shared" si="5"/>
        <v>1640.625</v>
      </c>
      <c r="H29" s="91">
        <f t="shared" si="5"/>
        <v>4593.75</v>
      </c>
      <c r="I29" s="91">
        <f t="shared" si="5"/>
        <v>9187.5</v>
      </c>
      <c r="K29" s="92"/>
      <c r="L29" s="93"/>
      <c r="M29" s="94"/>
      <c r="N29" s="95"/>
      <c r="O29" s="84">
        <f t="shared" si="3"/>
        <v>0</v>
      </c>
      <c r="P29">
        <v>0.32</v>
      </c>
      <c r="Q29">
        <f t="shared" si="7"/>
        <v>7.6616340908891729</v>
      </c>
      <c r="S29" t="s">
        <v>191</v>
      </c>
    </row>
    <row r="30" spans="2:19" ht="15.75" thickBot="1" x14ac:dyDescent="0.3">
      <c r="B30" s="247" t="s">
        <v>77</v>
      </c>
      <c r="C30" s="248">
        <f t="shared" si="4"/>
        <v>8.1037853858315998</v>
      </c>
      <c r="D30" s="249">
        <f t="shared" si="1"/>
        <v>0.35799999999999987</v>
      </c>
      <c r="E30" s="38">
        <f t="shared" si="5"/>
        <v>195.53072625698331</v>
      </c>
      <c r="F30" s="38">
        <f t="shared" si="5"/>
        <v>537.7094972067041</v>
      </c>
      <c r="G30" s="87">
        <f t="shared" si="5"/>
        <v>1466.4804469273747</v>
      </c>
      <c r="H30" s="87">
        <f t="shared" si="5"/>
        <v>4106.1452513966497</v>
      </c>
      <c r="I30" s="38">
        <f t="shared" si="5"/>
        <v>8212.2905027932993</v>
      </c>
      <c r="K30" s="44"/>
      <c r="L30" s="45"/>
      <c r="M30" s="46"/>
      <c r="N30" s="86"/>
      <c r="O30" s="84">
        <f>(SUM(K30:N30))*((C29/12)^2)*3.14/4</f>
        <v>0</v>
      </c>
      <c r="P30">
        <v>0.35799999999999998</v>
      </c>
      <c r="Q30">
        <f t="shared" si="7"/>
        <v>8.1037853858315998</v>
      </c>
    </row>
    <row r="31" spans="2:19" ht="15.75" thickBot="1" x14ac:dyDescent="0.3">
      <c r="B31" s="101"/>
      <c r="C31" s="66"/>
      <c r="D31" s="66"/>
      <c r="E31" s="66"/>
      <c r="F31" s="66"/>
      <c r="G31" s="66"/>
      <c r="H31" s="66"/>
      <c r="I31" s="67"/>
      <c r="K31" s="379" t="s">
        <v>78</v>
      </c>
      <c r="L31" s="380"/>
      <c r="M31" s="380"/>
      <c r="N31" s="381"/>
      <c r="O31" s="55">
        <f>ROUND(SUM(O8:O30),2)</f>
        <v>0</v>
      </c>
    </row>
    <row r="32" spans="2:19" ht="15.75" thickBot="1" x14ac:dyDescent="0.3">
      <c r="B32" s="256"/>
      <c r="C32" s="224"/>
      <c r="D32" s="224"/>
      <c r="E32" s="224"/>
      <c r="F32" s="224"/>
      <c r="G32" s="224"/>
      <c r="H32" s="224"/>
      <c r="I32" s="51"/>
      <c r="K32" s="379" t="s">
        <v>84</v>
      </c>
      <c r="L32" s="380"/>
      <c r="M32" s="380"/>
      <c r="N32" s="381"/>
      <c r="O32" s="10" t="str">
        <f>IF(O31&lt;=E5,E2,IF(O31&lt;=F5,F2,IF(O31&lt;=G5,G2,IF(O31&lt;=H5,H2,I2))))</f>
        <v>BD210W Series</v>
      </c>
    </row>
    <row r="33" spans="2:15" ht="15.75" thickBot="1" x14ac:dyDescent="0.3">
      <c r="B33" s="257"/>
      <c r="C33" s="70"/>
      <c r="D33" s="70"/>
      <c r="E33" s="70"/>
      <c r="F33" s="70"/>
      <c r="G33" s="70"/>
      <c r="H33" s="70"/>
      <c r="I33" s="71"/>
      <c r="K33" s="379" t="s">
        <v>209</v>
      </c>
      <c r="L33" s="380"/>
      <c r="M33" s="380"/>
      <c r="N33" s="381"/>
      <c r="O33" s="100">
        <f>IF(O32=E2,O31*((5+14.7)/14.7)/E3/60,IF(O32=F2,O31*((5+14.7)/14.7)/F3/60,IF(O32=G2,O31*((5+14.7)/14.7)/G3/60,IF(O32=H2,O31*((5+14.7)/14.7)/H3/60,IF(O32=I2,O31*((5+14.7)/14.7)/I3/60)))))</f>
        <v>0</v>
      </c>
    </row>
    <row r="34" spans="2:15" ht="15.75" thickBot="1" x14ac:dyDescent="0.3"/>
    <row r="35" spans="2:15" ht="15.75" thickBot="1" x14ac:dyDescent="0.3">
      <c r="B35" s="258" t="s">
        <v>82</v>
      </c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60"/>
    </row>
    <row r="36" spans="2:15" ht="45.75" customHeight="1" thickBot="1" x14ac:dyDescent="0.3">
      <c r="B36" s="2" t="s">
        <v>33</v>
      </c>
      <c r="C36" s="212" t="s">
        <v>34</v>
      </c>
      <c r="D36" s="2" t="s">
        <v>39</v>
      </c>
      <c r="E36" s="2" t="s">
        <v>49</v>
      </c>
      <c r="F36" s="2" t="s">
        <v>83</v>
      </c>
      <c r="G36" s="2" t="s">
        <v>38</v>
      </c>
      <c r="H36" s="2" t="s">
        <v>47</v>
      </c>
      <c r="I36" s="23" t="s">
        <v>40</v>
      </c>
      <c r="J36" s="11"/>
      <c r="K36" s="438" t="s">
        <v>11</v>
      </c>
      <c r="L36" s="439"/>
      <c r="M36" s="439"/>
      <c r="N36" s="439"/>
      <c r="O36" s="440"/>
    </row>
    <row r="37" spans="2:15" ht="15" customHeight="1" x14ac:dyDescent="0.25">
      <c r="B37" s="441" t="s">
        <v>46</v>
      </c>
      <c r="C37" s="408" t="s">
        <v>12</v>
      </c>
      <c r="D37" s="430">
        <v>0.12</v>
      </c>
      <c r="E37" s="431">
        <v>173</v>
      </c>
      <c r="F37" s="431">
        <v>37</v>
      </c>
      <c r="G37" s="431">
        <v>120</v>
      </c>
      <c r="H37" s="432" t="s">
        <v>16</v>
      </c>
      <c r="I37" s="77" t="s">
        <v>192</v>
      </c>
      <c r="J37" s="17"/>
      <c r="K37" s="428" t="s">
        <v>13</v>
      </c>
      <c r="L37" s="428"/>
      <c r="M37" s="428"/>
      <c r="N37" s="428"/>
      <c r="O37" s="429"/>
    </row>
    <row r="38" spans="2:15" x14ac:dyDescent="0.25">
      <c r="B38" s="442"/>
      <c r="C38" s="409"/>
      <c r="D38" s="416"/>
      <c r="E38" s="418"/>
      <c r="F38" s="418"/>
      <c r="G38" s="418"/>
      <c r="H38" s="420"/>
      <c r="I38" s="78" t="s">
        <v>193</v>
      </c>
      <c r="J38" s="18"/>
      <c r="K38" s="400" t="s">
        <v>14</v>
      </c>
      <c r="L38" s="400"/>
      <c r="M38" s="400"/>
      <c r="N38" s="400"/>
      <c r="O38" s="401"/>
    </row>
    <row r="39" spans="2:15" ht="15" customHeight="1" x14ac:dyDescent="0.25">
      <c r="B39" s="442"/>
      <c r="C39" s="444" t="s">
        <v>15</v>
      </c>
      <c r="D39" s="415">
        <v>0.5</v>
      </c>
      <c r="E39" s="417">
        <v>720</v>
      </c>
      <c r="F39" s="417">
        <v>127</v>
      </c>
      <c r="G39" s="417">
        <v>120</v>
      </c>
      <c r="H39" s="419" t="s">
        <v>16</v>
      </c>
      <c r="I39" s="78" t="s">
        <v>193</v>
      </c>
      <c r="J39" s="18"/>
      <c r="K39" s="400" t="s">
        <v>17</v>
      </c>
      <c r="L39" s="400"/>
      <c r="M39" s="400"/>
      <c r="N39" s="400"/>
      <c r="O39" s="401"/>
    </row>
    <row r="40" spans="2:15" x14ac:dyDescent="0.25">
      <c r="B40" s="442"/>
      <c r="C40" s="409"/>
      <c r="D40" s="416"/>
      <c r="E40" s="418"/>
      <c r="F40" s="418"/>
      <c r="G40" s="418"/>
      <c r="H40" s="420"/>
      <c r="I40" s="78" t="s">
        <v>194</v>
      </c>
      <c r="J40" s="18"/>
      <c r="K40" s="400" t="s">
        <v>18</v>
      </c>
      <c r="L40" s="400"/>
      <c r="M40" s="400"/>
      <c r="N40" s="400"/>
      <c r="O40" s="401"/>
    </row>
    <row r="41" spans="2:15" ht="15.75" thickBot="1" x14ac:dyDescent="0.3">
      <c r="B41" s="443"/>
      <c r="C41" s="74" t="s">
        <v>19</v>
      </c>
      <c r="D41" s="210">
        <v>0.09</v>
      </c>
      <c r="E41" s="207">
        <v>129</v>
      </c>
      <c r="F41" s="207">
        <v>30</v>
      </c>
      <c r="G41" s="207">
        <v>120</v>
      </c>
      <c r="H41" s="76" t="s">
        <v>20</v>
      </c>
      <c r="I41" s="79" t="s">
        <v>192</v>
      </c>
      <c r="J41" s="20"/>
      <c r="K41" s="445"/>
      <c r="L41" s="445"/>
      <c r="M41" s="445"/>
      <c r="N41" s="445"/>
      <c r="O41" s="446"/>
    </row>
    <row r="42" spans="2:15" ht="9.75" customHeight="1" thickBot="1" x14ac:dyDescent="0.3">
      <c r="B42" s="3"/>
      <c r="C42" s="59"/>
      <c r="D42" s="61"/>
      <c r="E42" s="4"/>
      <c r="F42" s="4"/>
      <c r="G42" s="4"/>
      <c r="H42" s="21"/>
      <c r="I42" s="80"/>
      <c r="J42" s="9"/>
      <c r="K42" s="402"/>
      <c r="L42" s="403"/>
      <c r="M42" s="403"/>
      <c r="N42" s="403"/>
      <c r="O42" s="404"/>
    </row>
    <row r="43" spans="2:15" x14ac:dyDescent="0.25">
      <c r="B43" s="405" t="s">
        <v>21</v>
      </c>
      <c r="C43" s="72" t="s">
        <v>53</v>
      </c>
      <c r="D43" s="430">
        <v>0.5</v>
      </c>
      <c r="E43" s="431">
        <v>750</v>
      </c>
      <c r="F43" s="431">
        <v>193</v>
      </c>
      <c r="G43" s="431">
        <v>120</v>
      </c>
      <c r="H43" s="16" t="s">
        <v>22</v>
      </c>
      <c r="I43" s="77" t="s">
        <v>195</v>
      </c>
      <c r="J43" s="67"/>
      <c r="K43" s="428"/>
      <c r="L43" s="428"/>
      <c r="M43" s="428"/>
      <c r="N43" s="428"/>
      <c r="O43" s="429"/>
    </row>
    <row r="44" spans="2:15" x14ac:dyDescent="0.25">
      <c r="B44" s="406"/>
      <c r="C44" s="73" t="s">
        <v>52</v>
      </c>
      <c r="D44" s="416"/>
      <c r="E44" s="418"/>
      <c r="F44" s="418"/>
      <c r="G44" s="418"/>
      <c r="H44" s="15" t="s">
        <v>23</v>
      </c>
      <c r="I44" s="78" t="s">
        <v>193</v>
      </c>
      <c r="J44" s="51"/>
      <c r="K44" s="400"/>
      <c r="L44" s="400"/>
      <c r="M44" s="400"/>
      <c r="N44" s="400"/>
      <c r="O44" s="401"/>
    </row>
    <row r="45" spans="2:15" x14ac:dyDescent="0.25">
      <c r="B45" s="406"/>
      <c r="C45" s="73" t="s">
        <v>51</v>
      </c>
      <c r="D45" s="415">
        <v>0.75</v>
      </c>
      <c r="E45" s="417">
        <v>1080</v>
      </c>
      <c r="F45" s="417">
        <v>282</v>
      </c>
      <c r="G45" s="417">
        <v>120</v>
      </c>
      <c r="H45" s="15" t="s">
        <v>22</v>
      </c>
      <c r="I45" s="78" t="s">
        <v>196</v>
      </c>
      <c r="J45" s="51"/>
      <c r="K45" s="400"/>
      <c r="L45" s="400"/>
      <c r="M45" s="400"/>
      <c r="N45" s="400"/>
      <c r="O45" s="401"/>
    </row>
    <row r="46" spans="2:15" x14ac:dyDescent="0.25">
      <c r="B46" s="406"/>
      <c r="C46" s="73" t="s">
        <v>50</v>
      </c>
      <c r="D46" s="416"/>
      <c r="E46" s="418"/>
      <c r="F46" s="418"/>
      <c r="G46" s="418"/>
      <c r="H46" s="211" t="s">
        <v>24</v>
      </c>
      <c r="I46" s="81" t="s">
        <v>194</v>
      </c>
      <c r="J46" s="51"/>
      <c r="K46" s="400"/>
      <c r="L46" s="400"/>
      <c r="M46" s="400"/>
      <c r="N46" s="400"/>
      <c r="O46" s="401"/>
    </row>
    <row r="47" spans="2:15" x14ac:dyDescent="0.25">
      <c r="B47" s="406"/>
      <c r="C47" s="414" t="s">
        <v>48</v>
      </c>
      <c r="D47" s="208">
        <v>0.14000000000000001</v>
      </c>
      <c r="E47" s="60">
        <v>300</v>
      </c>
      <c r="F47" s="206">
        <v>81</v>
      </c>
      <c r="G47" s="206">
        <v>120</v>
      </c>
      <c r="H47" s="15" t="s">
        <v>22</v>
      </c>
      <c r="I47" s="78" t="s">
        <v>192</v>
      </c>
      <c r="J47" s="51"/>
      <c r="K47" s="400"/>
      <c r="L47" s="400"/>
      <c r="M47" s="400"/>
      <c r="N47" s="400"/>
      <c r="O47" s="401"/>
    </row>
    <row r="48" spans="2:15" x14ac:dyDescent="0.25">
      <c r="B48" s="406"/>
      <c r="C48" s="409"/>
      <c r="D48" s="208">
        <v>0.11</v>
      </c>
      <c r="E48" s="206">
        <v>240</v>
      </c>
      <c r="F48" s="206" t="s">
        <v>81</v>
      </c>
      <c r="G48" s="206">
        <v>240</v>
      </c>
      <c r="H48" s="15" t="s">
        <v>22</v>
      </c>
      <c r="I48" s="78" t="s">
        <v>197</v>
      </c>
      <c r="J48" s="51"/>
      <c r="K48" s="400"/>
      <c r="L48" s="400"/>
      <c r="M48" s="400"/>
      <c r="N48" s="400"/>
      <c r="O48" s="401"/>
    </row>
    <row r="49" spans="2:15" x14ac:dyDescent="0.25">
      <c r="B49" s="406"/>
      <c r="C49" s="414" t="s">
        <v>45</v>
      </c>
      <c r="D49" s="208">
        <v>0.59</v>
      </c>
      <c r="E49" s="206">
        <v>1000</v>
      </c>
      <c r="F49" s="206">
        <v>209</v>
      </c>
      <c r="G49" s="206">
        <v>120</v>
      </c>
      <c r="H49" s="15" t="s">
        <v>22</v>
      </c>
      <c r="I49" s="78" t="s">
        <v>196</v>
      </c>
      <c r="J49" s="51"/>
      <c r="K49" s="400" t="s">
        <v>202</v>
      </c>
      <c r="L49" s="400"/>
      <c r="M49" s="400"/>
      <c r="N49" s="400"/>
      <c r="O49" s="401"/>
    </row>
    <row r="50" spans="2:15" x14ac:dyDescent="0.25">
      <c r="B50" s="406"/>
      <c r="C50" s="409"/>
      <c r="D50" s="208">
        <v>0.49</v>
      </c>
      <c r="E50" s="206">
        <v>825</v>
      </c>
      <c r="F50" s="206">
        <v>191</v>
      </c>
      <c r="G50" s="206">
        <v>240</v>
      </c>
      <c r="H50" s="15" t="s">
        <v>22</v>
      </c>
      <c r="I50" s="81" t="s">
        <v>198</v>
      </c>
      <c r="J50" s="51"/>
      <c r="K50" s="400" t="s">
        <v>203</v>
      </c>
      <c r="L50" s="400"/>
      <c r="M50" s="400"/>
      <c r="N50" s="400"/>
      <c r="O50" s="401"/>
    </row>
    <row r="51" spans="2:15" x14ac:dyDescent="0.25">
      <c r="B51" s="406"/>
      <c r="C51" s="414">
        <v>2400</v>
      </c>
      <c r="D51" s="415">
        <v>1.7</v>
      </c>
      <c r="E51" s="417">
        <v>3500</v>
      </c>
      <c r="F51" s="417">
        <v>716</v>
      </c>
      <c r="G51" s="206">
        <v>120</v>
      </c>
      <c r="H51" s="15" t="s">
        <v>22</v>
      </c>
      <c r="I51" s="81" t="s">
        <v>199</v>
      </c>
      <c r="J51" s="51"/>
      <c r="K51" s="400" t="s">
        <v>204</v>
      </c>
      <c r="L51" s="400"/>
      <c r="M51" s="400"/>
      <c r="N51" s="400"/>
      <c r="O51" s="401"/>
    </row>
    <row r="52" spans="2:15" x14ac:dyDescent="0.25">
      <c r="B52" s="406"/>
      <c r="C52" s="409"/>
      <c r="D52" s="416"/>
      <c r="E52" s="418"/>
      <c r="F52" s="418"/>
      <c r="G52" s="206">
        <v>240</v>
      </c>
      <c r="H52" s="15" t="s">
        <v>22</v>
      </c>
      <c r="I52" s="81" t="s">
        <v>200</v>
      </c>
      <c r="J52" s="51"/>
      <c r="K52" s="400" t="s">
        <v>205</v>
      </c>
      <c r="L52" s="400"/>
      <c r="M52" s="400"/>
      <c r="N52" s="400"/>
      <c r="O52" s="401"/>
    </row>
    <row r="53" spans="2:15" x14ac:dyDescent="0.25">
      <c r="B53" s="406"/>
      <c r="C53" s="414">
        <v>3200</v>
      </c>
      <c r="D53" s="415">
        <v>2.2000000000000002</v>
      </c>
      <c r="E53" s="417">
        <v>4100</v>
      </c>
      <c r="F53" s="417">
        <v>925</v>
      </c>
      <c r="G53" s="206">
        <v>120</v>
      </c>
      <c r="H53" s="15" t="s">
        <v>22</v>
      </c>
      <c r="I53" s="81" t="s">
        <v>199</v>
      </c>
      <c r="J53" s="51"/>
      <c r="K53" s="400" t="s">
        <v>204</v>
      </c>
      <c r="L53" s="400"/>
      <c r="M53" s="400"/>
      <c r="N53" s="400"/>
      <c r="O53" s="401"/>
    </row>
    <row r="54" spans="2:15" ht="15.75" thickBot="1" x14ac:dyDescent="0.3">
      <c r="B54" s="407"/>
      <c r="C54" s="421"/>
      <c r="D54" s="433"/>
      <c r="E54" s="434"/>
      <c r="F54" s="434"/>
      <c r="G54" s="207">
        <v>240</v>
      </c>
      <c r="H54" s="76" t="s">
        <v>22</v>
      </c>
      <c r="I54" s="79" t="s">
        <v>200</v>
      </c>
      <c r="J54" s="51"/>
      <c r="K54" s="400" t="s">
        <v>205</v>
      </c>
      <c r="L54" s="400"/>
      <c r="M54" s="400"/>
      <c r="N54" s="400"/>
      <c r="O54" s="401"/>
    </row>
    <row r="55" spans="2:15" ht="9.75" customHeight="1" thickBot="1" x14ac:dyDescent="0.3">
      <c r="B55" s="3"/>
      <c r="C55" s="59"/>
      <c r="D55" s="61"/>
      <c r="E55" s="4"/>
      <c r="F55" s="4"/>
      <c r="G55" s="4"/>
      <c r="H55" s="21"/>
      <c r="I55" s="80"/>
      <c r="J55" s="8"/>
      <c r="K55" s="402"/>
      <c r="L55" s="403"/>
      <c r="M55" s="403"/>
      <c r="N55" s="403"/>
      <c r="O55" s="404"/>
    </row>
    <row r="56" spans="2:15" x14ac:dyDescent="0.25">
      <c r="B56" s="405" t="s">
        <v>25</v>
      </c>
      <c r="C56" s="408" t="s">
        <v>26</v>
      </c>
      <c r="D56" s="430">
        <v>0.2</v>
      </c>
      <c r="E56" s="431">
        <v>288</v>
      </c>
      <c r="F56" s="431">
        <v>101</v>
      </c>
      <c r="G56" s="431">
        <v>120</v>
      </c>
      <c r="H56" s="432" t="s">
        <v>27</v>
      </c>
      <c r="I56" s="77" t="s">
        <v>192</v>
      </c>
      <c r="J56" s="17"/>
      <c r="K56" s="428" t="s">
        <v>13</v>
      </c>
      <c r="L56" s="428"/>
      <c r="M56" s="428"/>
      <c r="N56" s="428"/>
      <c r="O56" s="429"/>
    </row>
    <row r="57" spans="2:15" x14ac:dyDescent="0.25">
      <c r="B57" s="406"/>
      <c r="C57" s="409"/>
      <c r="D57" s="416"/>
      <c r="E57" s="418"/>
      <c r="F57" s="418"/>
      <c r="G57" s="418"/>
      <c r="H57" s="420"/>
      <c r="I57" s="78" t="s">
        <v>195</v>
      </c>
      <c r="J57" s="18"/>
      <c r="K57" s="400" t="s">
        <v>14</v>
      </c>
      <c r="L57" s="400"/>
      <c r="M57" s="400"/>
      <c r="N57" s="400"/>
      <c r="O57" s="401"/>
    </row>
    <row r="58" spans="2:15" x14ac:dyDescent="0.25">
      <c r="B58" s="406"/>
      <c r="C58" s="414" t="s">
        <v>28</v>
      </c>
      <c r="D58" s="415">
        <v>0.17</v>
      </c>
      <c r="E58" s="417">
        <v>245</v>
      </c>
      <c r="F58" s="417">
        <v>85</v>
      </c>
      <c r="G58" s="417">
        <v>240</v>
      </c>
      <c r="H58" s="419" t="s">
        <v>27</v>
      </c>
      <c r="I58" s="78" t="s">
        <v>197</v>
      </c>
      <c r="J58" s="18"/>
      <c r="K58" s="400" t="s">
        <v>13</v>
      </c>
      <c r="L58" s="400"/>
      <c r="M58" s="400"/>
      <c r="N58" s="400"/>
      <c r="O58" s="401"/>
    </row>
    <row r="59" spans="2:15" x14ac:dyDescent="0.25">
      <c r="B59" s="406"/>
      <c r="C59" s="409"/>
      <c r="D59" s="416"/>
      <c r="E59" s="418"/>
      <c r="F59" s="418"/>
      <c r="G59" s="418"/>
      <c r="H59" s="420"/>
      <c r="I59" s="78" t="s">
        <v>201</v>
      </c>
      <c r="J59" s="18"/>
      <c r="K59" s="400" t="s">
        <v>14</v>
      </c>
      <c r="L59" s="400"/>
      <c r="M59" s="400"/>
      <c r="N59" s="400"/>
      <c r="O59" s="401"/>
    </row>
    <row r="60" spans="2:15" x14ac:dyDescent="0.25">
      <c r="B60" s="406"/>
      <c r="C60" s="73" t="s">
        <v>29</v>
      </c>
      <c r="D60" s="208">
        <v>0.7</v>
      </c>
      <c r="E60" s="206">
        <v>1008</v>
      </c>
      <c r="F60" s="206">
        <v>354</v>
      </c>
      <c r="G60" s="206">
        <v>120</v>
      </c>
      <c r="H60" s="15" t="s">
        <v>27</v>
      </c>
      <c r="I60" s="78" t="s">
        <v>196</v>
      </c>
      <c r="J60" s="18"/>
      <c r="K60" s="400"/>
      <c r="L60" s="400"/>
      <c r="M60" s="400"/>
      <c r="N60" s="400"/>
      <c r="O60" s="401"/>
    </row>
    <row r="61" spans="2:15" ht="15.75" thickBot="1" x14ac:dyDescent="0.3">
      <c r="B61" s="407"/>
      <c r="C61" s="74" t="s">
        <v>30</v>
      </c>
      <c r="D61" s="210">
        <v>0.57999999999999996</v>
      </c>
      <c r="E61" s="207">
        <v>836</v>
      </c>
      <c r="F61" s="207">
        <v>294</v>
      </c>
      <c r="G61" s="207">
        <v>240</v>
      </c>
      <c r="H61" s="76" t="s">
        <v>27</v>
      </c>
      <c r="I61" s="79" t="s">
        <v>198</v>
      </c>
      <c r="J61" s="18"/>
      <c r="K61" s="400"/>
      <c r="L61" s="400"/>
      <c r="M61" s="400"/>
      <c r="N61" s="400"/>
      <c r="O61" s="401"/>
    </row>
    <row r="62" spans="2:15" ht="9.75" customHeight="1" thickBot="1" x14ac:dyDescent="0.3">
      <c r="B62" s="12"/>
      <c r="C62" s="58"/>
      <c r="D62" s="62"/>
      <c r="E62" s="13"/>
      <c r="F62" s="13"/>
      <c r="G62" s="13"/>
      <c r="H62" s="22"/>
      <c r="I62" s="82"/>
      <c r="J62" s="8"/>
      <c r="K62" s="402"/>
      <c r="L62" s="403"/>
      <c r="M62" s="403"/>
      <c r="N62" s="403"/>
      <c r="O62" s="404"/>
    </row>
    <row r="63" spans="2:15" x14ac:dyDescent="0.25">
      <c r="B63" s="405" t="s">
        <v>31</v>
      </c>
      <c r="C63" s="408" t="s">
        <v>41</v>
      </c>
      <c r="D63" s="410">
        <v>0.5</v>
      </c>
      <c r="E63" s="412">
        <v>750</v>
      </c>
      <c r="F63" s="412">
        <v>253</v>
      </c>
      <c r="G63" s="209">
        <v>120</v>
      </c>
      <c r="H63" s="16" t="s">
        <v>36</v>
      </c>
      <c r="I63" s="77" t="s">
        <v>194</v>
      </c>
      <c r="J63" s="17"/>
      <c r="K63" s="427"/>
      <c r="L63" s="428"/>
      <c r="M63" s="428"/>
      <c r="N63" s="428"/>
      <c r="O63" s="429"/>
    </row>
    <row r="64" spans="2:15" x14ac:dyDescent="0.25">
      <c r="B64" s="406"/>
      <c r="C64" s="409"/>
      <c r="D64" s="411"/>
      <c r="E64" s="413"/>
      <c r="F64" s="413"/>
      <c r="G64" s="206">
        <v>240</v>
      </c>
      <c r="H64" s="15" t="s">
        <v>36</v>
      </c>
      <c r="I64" s="78" t="s">
        <v>206</v>
      </c>
      <c r="J64" s="18"/>
      <c r="K64" s="399"/>
      <c r="L64" s="400"/>
      <c r="M64" s="400"/>
      <c r="N64" s="400"/>
      <c r="O64" s="401"/>
    </row>
    <row r="65" spans="2:15" x14ac:dyDescent="0.25">
      <c r="B65" s="406"/>
      <c r="C65" s="414" t="s">
        <v>42</v>
      </c>
      <c r="D65" s="411">
        <v>1.4</v>
      </c>
      <c r="E65" s="413">
        <v>2016</v>
      </c>
      <c r="F65" s="413">
        <v>706</v>
      </c>
      <c r="G65" s="206">
        <v>120</v>
      </c>
      <c r="H65" s="15" t="s">
        <v>35</v>
      </c>
      <c r="I65" s="78" t="s">
        <v>207</v>
      </c>
      <c r="J65" s="18"/>
      <c r="K65" s="399"/>
      <c r="L65" s="400"/>
      <c r="M65" s="400"/>
      <c r="N65" s="400"/>
      <c r="O65" s="401"/>
    </row>
    <row r="66" spans="2:15" x14ac:dyDescent="0.25">
      <c r="B66" s="406"/>
      <c r="C66" s="409"/>
      <c r="D66" s="411"/>
      <c r="E66" s="413"/>
      <c r="F66" s="413"/>
      <c r="G66" s="206">
        <v>240</v>
      </c>
      <c r="H66" s="15" t="s">
        <v>35</v>
      </c>
      <c r="I66" s="78" t="s">
        <v>207</v>
      </c>
      <c r="J66" s="18"/>
      <c r="K66" s="399"/>
      <c r="L66" s="400"/>
      <c r="M66" s="400"/>
      <c r="N66" s="400"/>
      <c r="O66" s="401"/>
    </row>
    <row r="67" spans="2:15" x14ac:dyDescent="0.25">
      <c r="B67" s="406"/>
      <c r="C67" s="414" t="s">
        <v>43</v>
      </c>
      <c r="D67" s="411">
        <v>1.4</v>
      </c>
      <c r="E67" s="413">
        <v>2016</v>
      </c>
      <c r="F67" s="413">
        <v>706</v>
      </c>
      <c r="G67" s="206">
        <v>120</v>
      </c>
      <c r="H67" s="15" t="s">
        <v>37</v>
      </c>
      <c r="I67" s="78" t="s">
        <v>208</v>
      </c>
      <c r="J67" s="18"/>
      <c r="K67" s="399"/>
      <c r="L67" s="400"/>
      <c r="M67" s="400"/>
      <c r="N67" s="400"/>
      <c r="O67" s="401"/>
    </row>
    <row r="68" spans="2:15" ht="15.75" thickBot="1" x14ac:dyDescent="0.3">
      <c r="B68" s="407"/>
      <c r="C68" s="421"/>
      <c r="D68" s="422"/>
      <c r="E68" s="423"/>
      <c r="F68" s="423"/>
      <c r="G68" s="207">
        <v>240</v>
      </c>
      <c r="H68" s="76" t="s">
        <v>37</v>
      </c>
      <c r="I68" s="79" t="s">
        <v>200</v>
      </c>
      <c r="J68" s="20"/>
      <c r="K68" s="424"/>
      <c r="L68" s="425"/>
      <c r="M68" s="425"/>
      <c r="N68" s="425"/>
      <c r="O68" s="426"/>
    </row>
    <row r="69" spans="2:15" x14ac:dyDescent="0.25">
      <c r="B69" s="64" t="s">
        <v>32</v>
      </c>
      <c r="C69" s="65"/>
      <c r="D69" s="65"/>
      <c r="E69" s="65"/>
      <c r="F69" s="65"/>
      <c r="G69" s="65"/>
      <c r="H69" s="65"/>
      <c r="I69" s="65"/>
      <c r="J69" s="66"/>
      <c r="K69" s="66"/>
      <c r="L69" s="66"/>
      <c r="M69" s="66"/>
      <c r="N69" s="66"/>
      <c r="O69" s="67"/>
    </row>
    <row r="70" spans="2:15" ht="15.75" thickBot="1" x14ac:dyDescent="0.3">
      <c r="B70" s="68" t="s">
        <v>44</v>
      </c>
      <c r="C70" s="69"/>
      <c r="D70" s="69"/>
      <c r="E70" s="69"/>
      <c r="F70" s="69"/>
      <c r="G70" s="69"/>
      <c r="H70" s="69"/>
      <c r="I70" s="69"/>
      <c r="J70" s="70"/>
      <c r="K70" s="70"/>
      <c r="L70" s="70"/>
      <c r="M70" s="70"/>
      <c r="N70" s="70"/>
      <c r="O70" s="71"/>
    </row>
    <row r="72" spans="2:15" x14ac:dyDescent="0.25">
      <c r="E72" s="1"/>
      <c r="F72" s="1"/>
      <c r="G72" s="1"/>
      <c r="H72" s="1"/>
      <c r="I72" s="1"/>
    </row>
    <row r="73" spans="2:15" x14ac:dyDescent="0.25">
      <c r="E73" s="1"/>
      <c r="F73" s="1"/>
      <c r="G73" s="1"/>
      <c r="H73" s="1"/>
      <c r="I73" s="1"/>
    </row>
    <row r="74" spans="2:15" x14ac:dyDescent="0.25">
      <c r="E74" s="1"/>
      <c r="F74" s="1"/>
      <c r="G74" s="1"/>
      <c r="H74" s="1"/>
      <c r="I74" s="1"/>
    </row>
    <row r="75" spans="2:15" x14ac:dyDescent="0.25">
      <c r="E75" s="1"/>
      <c r="F75" s="1"/>
      <c r="G75" s="1"/>
      <c r="H75" s="1"/>
      <c r="I75" s="1"/>
    </row>
    <row r="76" spans="2:15" x14ac:dyDescent="0.25">
      <c r="E76" s="1"/>
      <c r="F76" s="1"/>
      <c r="G76" s="1"/>
      <c r="H76" s="1"/>
      <c r="I76" s="1"/>
    </row>
    <row r="77" spans="2:15" x14ac:dyDescent="0.25">
      <c r="E77" s="1"/>
      <c r="F77" s="1"/>
      <c r="G77" s="1"/>
      <c r="H77" s="1"/>
      <c r="I77" s="1"/>
    </row>
    <row r="78" spans="2:15" x14ac:dyDescent="0.25">
      <c r="E78" s="1"/>
      <c r="F78" s="1"/>
      <c r="G78" s="1"/>
      <c r="H78" s="1"/>
      <c r="I78" s="1"/>
    </row>
    <row r="79" spans="2:15" x14ac:dyDescent="0.25">
      <c r="E79" s="1"/>
      <c r="F79" s="1"/>
      <c r="G79" s="1"/>
      <c r="H79" s="1"/>
      <c r="I79" s="1"/>
    </row>
    <row r="80" spans="2:15" x14ac:dyDescent="0.25">
      <c r="E80" s="1"/>
      <c r="F80" s="1"/>
      <c r="G80" s="1"/>
      <c r="H80" s="1"/>
      <c r="I80" s="1"/>
    </row>
    <row r="81" spans="5:9" x14ac:dyDescent="0.25">
      <c r="E81" s="1"/>
      <c r="F81" s="1"/>
      <c r="G81" s="1"/>
      <c r="H81" s="1"/>
      <c r="I81" s="1"/>
    </row>
  </sheetData>
  <mergeCells count="103">
    <mergeCell ref="K65:O65"/>
    <mergeCell ref="K66:O66"/>
    <mergeCell ref="K62:O62"/>
    <mergeCell ref="B63:B68"/>
    <mergeCell ref="C63:C64"/>
    <mergeCell ref="D63:D64"/>
    <mergeCell ref="E63:E64"/>
    <mergeCell ref="F63:F64"/>
    <mergeCell ref="C58:C59"/>
    <mergeCell ref="D58:D59"/>
    <mergeCell ref="E58:E59"/>
    <mergeCell ref="F58:F59"/>
    <mergeCell ref="G58:G59"/>
    <mergeCell ref="H58:H59"/>
    <mergeCell ref="C67:C68"/>
    <mergeCell ref="D67:D68"/>
    <mergeCell ref="E67:E68"/>
    <mergeCell ref="F67:F68"/>
    <mergeCell ref="K67:O67"/>
    <mergeCell ref="K68:O68"/>
    <mergeCell ref="K63:O63"/>
    <mergeCell ref="K64:O64"/>
    <mergeCell ref="C65:C66"/>
    <mergeCell ref="D65:D66"/>
    <mergeCell ref="E65:E66"/>
    <mergeCell ref="F65:F66"/>
    <mergeCell ref="B56:B61"/>
    <mergeCell ref="C56:C57"/>
    <mergeCell ref="D56:D57"/>
    <mergeCell ref="E56:E57"/>
    <mergeCell ref="F56:F57"/>
    <mergeCell ref="G56:G57"/>
    <mergeCell ref="H56:H57"/>
    <mergeCell ref="K56:O56"/>
    <mergeCell ref="K57:O57"/>
    <mergeCell ref="K58:O58"/>
    <mergeCell ref="K59:O59"/>
    <mergeCell ref="K60:O60"/>
    <mergeCell ref="K61:O61"/>
    <mergeCell ref="K53:O53"/>
    <mergeCell ref="K54:O54"/>
    <mergeCell ref="C51:C52"/>
    <mergeCell ref="D51:D52"/>
    <mergeCell ref="E51:E52"/>
    <mergeCell ref="F51:F52"/>
    <mergeCell ref="K51:O51"/>
    <mergeCell ref="K52:O52"/>
    <mergeCell ref="K55:O55"/>
    <mergeCell ref="K42:O42"/>
    <mergeCell ref="B43:B54"/>
    <mergeCell ref="D43:D44"/>
    <mergeCell ref="E43:E44"/>
    <mergeCell ref="F43:F44"/>
    <mergeCell ref="G43:G44"/>
    <mergeCell ref="K43:O43"/>
    <mergeCell ref="K44:O44"/>
    <mergeCell ref="C47:C48"/>
    <mergeCell ref="K47:O47"/>
    <mergeCell ref="K48:O48"/>
    <mergeCell ref="C49:C50"/>
    <mergeCell ref="K49:O49"/>
    <mergeCell ref="K50:O50"/>
    <mergeCell ref="D45:D46"/>
    <mergeCell ref="E45:E46"/>
    <mergeCell ref="F45:F46"/>
    <mergeCell ref="G45:G46"/>
    <mergeCell ref="K45:O45"/>
    <mergeCell ref="K46:O46"/>
    <mergeCell ref="C53:C54"/>
    <mergeCell ref="D53:D54"/>
    <mergeCell ref="E53:E54"/>
    <mergeCell ref="F53:F54"/>
    <mergeCell ref="K31:N31"/>
    <mergeCell ref="K32:N32"/>
    <mergeCell ref="K33:N33"/>
    <mergeCell ref="K36:O36"/>
    <mergeCell ref="B37:B41"/>
    <mergeCell ref="C37:C38"/>
    <mergeCell ref="D37:D38"/>
    <mergeCell ref="E37:E38"/>
    <mergeCell ref="F37:F38"/>
    <mergeCell ref="G37:G38"/>
    <mergeCell ref="H37:H38"/>
    <mergeCell ref="K37:O37"/>
    <mergeCell ref="K38:O38"/>
    <mergeCell ref="C39:C40"/>
    <mergeCell ref="D39:D40"/>
    <mergeCell ref="E39:E40"/>
    <mergeCell ref="F39:F40"/>
    <mergeCell ref="G39:G40"/>
    <mergeCell ref="H39:H40"/>
    <mergeCell ref="K39:O39"/>
    <mergeCell ref="K40:O40"/>
    <mergeCell ref="K41:O41"/>
    <mergeCell ref="C2:D2"/>
    <mergeCell ref="K2:O2"/>
    <mergeCell ref="C3:D3"/>
    <mergeCell ref="K3:O6"/>
    <mergeCell ref="B4:B7"/>
    <mergeCell ref="C4:D4"/>
    <mergeCell ref="C5:D5"/>
    <mergeCell ref="C6:D6"/>
    <mergeCell ref="E7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D9DA-2622-4FF3-A342-7FC10E0F8446}">
  <dimension ref="B1:S83"/>
  <sheetViews>
    <sheetView showGridLines="0" zoomScaleNormal="100" workbookViewId="0">
      <selection activeCell="B3" sqref="B3"/>
    </sheetView>
  </sheetViews>
  <sheetFormatPr defaultRowHeight="15" x14ac:dyDescent="0.25"/>
  <cols>
    <col min="1" max="1" width="5.140625" customWidth="1"/>
    <col min="2" max="2" width="24.28515625" customWidth="1"/>
    <col min="3" max="4" width="11.5703125" customWidth="1"/>
    <col min="5" max="6" width="14.42578125" bestFit="1" customWidth="1"/>
    <col min="7" max="9" width="15.42578125" bestFit="1" customWidth="1"/>
    <col min="10" max="10" width="2.42578125" customWidth="1"/>
    <col min="11" max="14" width="12.140625" customWidth="1"/>
    <col min="15" max="15" width="14.5703125" customWidth="1"/>
    <col min="16" max="18" width="9.140625" hidden="1" customWidth="1"/>
    <col min="19" max="19" width="12" hidden="1" customWidth="1"/>
  </cols>
  <sheetData>
    <row r="1" spans="2:19" ht="15.75" thickBot="1" x14ac:dyDescent="0.3"/>
    <row r="2" spans="2:19" ht="15.75" thickBot="1" x14ac:dyDescent="0.3">
      <c r="B2" s="24" t="s">
        <v>79</v>
      </c>
      <c r="C2" s="371" t="s">
        <v>2</v>
      </c>
      <c r="D2" s="372"/>
      <c r="E2" s="83" t="s">
        <v>186</v>
      </c>
      <c r="F2" s="25" t="s">
        <v>187</v>
      </c>
      <c r="G2" s="25" t="s">
        <v>188</v>
      </c>
      <c r="H2" s="25" t="s">
        <v>189</v>
      </c>
      <c r="I2" s="26" t="s">
        <v>190</v>
      </c>
      <c r="K2" s="376" t="s">
        <v>10</v>
      </c>
      <c r="L2" s="377"/>
      <c r="M2" s="377"/>
      <c r="N2" s="377"/>
      <c r="O2" s="378"/>
    </row>
    <row r="3" spans="2:19" ht="15.75" thickBot="1" x14ac:dyDescent="0.3">
      <c r="B3" s="27">
        <v>0.35</v>
      </c>
      <c r="C3" s="459" t="s">
        <v>210</v>
      </c>
      <c r="D3" s="383"/>
      <c r="E3" s="190">
        <f>E4/1440</f>
        <v>3.9583333333333337E-3</v>
      </c>
      <c r="F3" s="191">
        <f>F4/1440</f>
        <v>1.0833333333333334E-2</v>
      </c>
      <c r="G3" s="190">
        <f>G4/1440</f>
        <v>2.9513888888888888E-2</v>
      </c>
      <c r="H3" s="192">
        <f>H4/1440</f>
        <v>8.2638888888888887E-2</v>
      </c>
      <c r="I3" s="191">
        <f>I4/1440</f>
        <v>0.16527777777777777</v>
      </c>
      <c r="K3" s="384" t="s">
        <v>80</v>
      </c>
      <c r="L3" s="385"/>
      <c r="M3" s="385"/>
      <c r="N3" s="385"/>
      <c r="O3" s="386"/>
    </row>
    <row r="4" spans="2:19" ht="15.75" thickBot="1" x14ac:dyDescent="0.3">
      <c r="B4" s="461"/>
      <c r="C4" s="459" t="s">
        <v>211</v>
      </c>
      <c r="D4" s="383"/>
      <c r="E4" s="28">
        <v>5.7</v>
      </c>
      <c r="F4" s="29">
        <v>15.6</v>
      </c>
      <c r="G4" s="28">
        <v>42.5</v>
      </c>
      <c r="H4" s="30">
        <v>119</v>
      </c>
      <c r="I4" s="31">
        <v>238</v>
      </c>
      <c r="K4" s="387"/>
      <c r="L4" s="460"/>
      <c r="M4" s="460"/>
      <c r="N4" s="460"/>
      <c r="O4" s="389"/>
    </row>
    <row r="5" spans="2:19" ht="15.75" thickBot="1" x14ac:dyDescent="0.3">
      <c r="B5" s="462"/>
      <c r="C5" s="459" t="s">
        <v>214</v>
      </c>
      <c r="D5" s="383"/>
      <c r="E5" s="197">
        <f>E4*$B$3</f>
        <v>1.9949999999999999</v>
      </c>
      <c r="F5" s="198">
        <f>F4*$B$3</f>
        <v>5.46</v>
      </c>
      <c r="G5" s="198">
        <f>G4*$B$3</f>
        <v>14.874999999999998</v>
      </c>
      <c r="H5" s="198">
        <f>H4*$B$3</f>
        <v>41.65</v>
      </c>
      <c r="I5" s="199">
        <f>I4*$B$3</f>
        <v>83.3</v>
      </c>
      <c r="K5" s="387"/>
      <c r="L5" s="460"/>
      <c r="M5" s="460"/>
      <c r="N5" s="460"/>
      <c r="O5" s="389"/>
    </row>
    <row r="6" spans="2:19" ht="15.75" thickBot="1" x14ac:dyDescent="0.3">
      <c r="B6" s="462"/>
      <c r="C6" s="459" t="s">
        <v>213</v>
      </c>
      <c r="D6" s="383"/>
      <c r="E6" s="32">
        <f>E5*100*100*100</f>
        <v>1995000</v>
      </c>
      <c r="F6" s="32">
        <f>F5*100*100*100</f>
        <v>5460000</v>
      </c>
      <c r="G6" s="32">
        <f>G5*100*100*100</f>
        <v>14874999.999999996</v>
      </c>
      <c r="H6" s="32">
        <f>H5*100*100*100</f>
        <v>41650000</v>
      </c>
      <c r="I6" s="33">
        <f>I5*100*100*100</f>
        <v>83300000</v>
      </c>
      <c r="K6" s="387"/>
      <c r="L6" s="460"/>
      <c r="M6" s="460"/>
      <c r="N6" s="460"/>
      <c r="O6" s="389"/>
    </row>
    <row r="7" spans="2:19" ht="15.75" thickBot="1" x14ac:dyDescent="0.3">
      <c r="B7" s="462"/>
      <c r="C7" s="459" t="s">
        <v>225</v>
      </c>
      <c r="D7" s="383"/>
      <c r="E7" s="200">
        <f>E6/1000</f>
        <v>1995</v>
      </c>
      <c r="F7" s="200">
        <f>F6/1000</f>
        <v>5460</v>
      </c>
      <c r="G7" s="200">
        <f>G6/1000</f>
        <v>14874.999999999996</v>
      </c>
      <c r="H7" s="200">
        <f>H6/1000</f>
        <v>41650</v>
      </c>
      <c r="I7" s="201">
        <f>I6/1000</f>
        <v>83300</v>
      </c>
      <c r="K7" s="390"/>
      <c r="L7" s="391"/>
      <c r="M7" s="391"/>
      <c r="N7" s="391"/>
      <c r="O7" s="392"/>
    </row>
    <row r="8" spans="2:19" ht="15.75" thickBot="1" x14ac:dyDescent="0.3">
      <c r="B8" s="462"/>
      <c r="C8" s="214"/>
      <c r="D8" s="226" t="s">
        <v>238</v>
      </c>
      <c r="E8" s="263">
        <f>E5/E4</f>
        <v>0.35</v>
      </c>
      <c r="F8" s="263">
        <f t="shared" ref="F8:I8" si="0">F5/F4</f>
        <v>0.35000000000000003</v>
      </c>
      <c r="G8" s="263">
        <f t="shared" si="0"/>
        <v>0.35</v>
      </c>
      <c r="H8" s="263">
        <f t="shared" si="0"/>
        <v>0.35</v>
      </c>
      <c r="I8" s="263">
        <f t="shared" si="0"/>
        <v>0.35</v>
      </c>
      <c r="K8" s="215"/>
      <c r="L8" s="216"/>
      <c r="M8" s="216"/>
      <c r="N8" s="216"/>
      <c r="O8" s="217"/>
    </row>
    <row r="9" spans="2:19" ht="30.75" thickBot="1" x14ac:dyDescent="0.3">
      <c r="B9" s="463"/>
      <c r="C9" s="57" t="s">
        <v>212</v>
      </c>
      <c r="D9" s="143" t="s">
        <v>224</v>
      </c>
      <c r="E9" s="395" t="s">
        <v>215</v>
      </c>
      <c r="F9" s="396"/>
      <c r="G9" s="396"/>
      <c r="H9" s="396"/>
      <c r="I9" s="447"/>
      <c r="K9" s="184" t="s">
        <v>216</v>
      </c>
      <c r="L9" s="185" t="s">
        <v>217</v>
      </c>
      <c r="M9" s="185" t="s">
        <v>218</v>
      </c>
      <c r="N9" s="186" t="s">
        <v>219</v>
      </c>
      <c r="O9" s="187" t="s">
        <v>226</v>
      </c>
      <c r="P9" s="196" t="s">
        <v>222</v>
      </c>
      <c r="Q9" s="196" t="s">
        <v>220</v>
      </c>
      <c r="R9" s="196" t="s">
        <v>221</v>
      </c>
      <c r="S9" s="196" t="s">
        <v>223</v>
      </c>
    </row>
    <row r="10" spans="2:19" x14ac:dyDescent="0.25">
      <c r="B10" s="88" t="s">
        <v>62</v>
      </c>
      <c r="C10" s="151">
        <f>R10</f>
        <v>1.1666190248082646</v>
      </c>
      <c r="D10" s="151">
        <f>S10</f>
        <v>0.10683859939241352</v>
      </c>
      <c r="E10" s="193">
        <f>E$7/$D10</f>
        <v>18673.026521739132</v>
      </c>
      <c r="F10" s="193">
        <f>F$7/$D10</f>
        <v>51105.125217391309</v>
      </c>
      <c r="G10" s="193">
        <f>G$7/$D10</f>
        <v>139228.70652173911</v>
      </c>
      <c r="H10" s="193">
        <f>H$7/$D10</f>
        <v>389840.37826086959</v>
      </c>
      <c r="I10" s="193">
        <f>I$7/$D10</f>
        <v>779680.75652173918</v>
      </c>
      <c r="K10" s="44"/>
      <c r="L10" s="45"/>
      <c r="M10" s="46"/>
      <c r="N10" s="86"/>
      <c r="O10" s="84">
        <f>(SUM(K10:N10))*D10</f>
        <v>0</v>
      </c>
      <c r="P10">
        <v>1.15E-3</v>
      </c>
      <c r="Q10">
        <f>SQRT(P10*4/3.14)*12</f>
        <v>0.45929882866467109</v>
      </c>
      <c r="R10">
        <f>Q10*2.54</f>
        <v>1.1666190248082646</v>
      </c>
      <c r="S10">
        <f>P10/0.0107639</f>
        <v>0.10683859939241352</v>
      </c>
    </row>
    <row r="11" spans="2:19" x14ac:dyDescent="0.25">
      <c r="B11" s="89" t="s">
        <v>63</v>
      </c>
      <c r="C11" s="152">
        <f t="shared" ref="C11:C32" si="1">R11</f>
        <v>1.3054534200219989</v>
      </c>
      <c r="D11" s="152">
        <f t="shared" ref="D11:D32" si="2">S11</f>
        <v>0.13378050706528305</v>
      </c>
      <c r="E11" s="194">
        <f t="shared" ref="E11:I32" si="3">E$7/$D11</f>
        <v>14912.486458333331</v>
      </c>
      <c r="F11" s="194">
        <f t="shared" si="3"/>
        <v>40813.120833333327</v>
      </c>
      <c r="G11" s="194">
        <f t="shared" si="3"/>
        <v>111189.59201388885</v>
      </c>
      <c r="H11" s="194">
        <f t="shared" si="3"/>
        <v>311330.85763888882</v>
      </c>
      <c r="I11" s="194">
        <f t="shared" si="3"/>
        <v>622661.71527777764</v>
      </c>
      <c r="K11" s="52"/>
      <c r="L11" s="53"/>
      <c r="M11" s="54"/>
      <c r="N11" s="85"/>
      <c r="O11" s="84">
        <f t="shared" ref="O11:O32" si="4">(SUM(K11:N11))*D11</f>
        <v>0</v>
      </c>
      <c r="P11">
        <v>1.4400000000000001E-3</v>
      </c>
      <c r="Q11">
        <f t="shared" ref="Q11:Q24" si="5">SQRT(P11*4/3.14)*12</f>
        <v>0.51395803937873974</v>
      </c>
      <c r="R11">
        <f t="shared" ref="R11:R32" si="6">Q11*2.54</f>
        <v>1.3054534200219989</v>
      </c>
      <c r="S11">
        <f t="shared" ref="S11:S32" si="7">P11/0.0107639</f>
        <v>0.13378050706528305</v>
      </c>
    </row>
    <row r="12" spans="2:19" x14ac:dyDescent="0.25">
      <c r="B12" s="88" t="s">
        <v>64</v>
      </c>
      <c r="C12" s="151">
        <f t="shared" si="1"/>
        <v>1.794174113358173</v>
      </c>
      <c r="D12" s="151">
        <f t="shared" si="2"/>
        <v>0.25269651334553461</v>
      </c>
      <c r="E12" s="193">
        <f t="shared" si="3"/>
        <v>7894.8457720588231</v>
      </c>
      <c r="F12" s="193">
        <f t="shared" si="3"/>
        <v>21606.946323529413</v>
      </c>
      <c r="G12" s="193">
        <f t="shared" si="3"/>
        <v>58865.078124999985</v>
      </c>
      <c r="H12" s="193">
        <f t="shared" si="3"/>
        <v>164822.21875</v>
      </c>
      <c r="I12" s="193">
        <f t="shared" si="3"/>
        <v>329644.4375</v>
      </c>
      <c r="K12" s="44"/>
      <c r="L12" s="45"/>
      <c r="M12" s="46"/>
      <c r="N12" s="86"/>
      <c r="O12" s="84">
        <f t="shared" si="4"/>
        <v>0</v>
      </c>
      <c r="P12">
        <v>2.7200000000000002E-3</v>
      </c>
      <c r="Q12">
        <f t="shared" si="5"/>
        <v>0.70636776116463507</v>
      </c>
      <c r="R12">
        <f t="shared" si="6"/>
        <v>1.794174113358173</v>
      </c>
      <c r="S12">
        <f t="shared" si="7"/>
        <v>0.25269651334553461</v>
      </c>
    </row>
    <row r="13" spans="2:19" x14ac:dyDescent="0.25">
      <c r="B13" s="89" t="s">
        <v>65</v>
      </c>
      <c r="C13" s="152">
        <f t="shared" si="1"/>
        <v>2.3859023914770803</v>
      </c>
      <c r="D13" s="152">
        <f t="shared" si="2"/>
        <v>0.44686405485000791</v>
      </c>
      <c r="E13" s="194">
        <f t="shared" si="3"/>
        <v>4464.4450103950103</v>
      </c>
      <c r="F13" s="194">
        <f t="shared" si="3"/>
        <v>12218.481081081081</v>
      </c>
      <c r="G13" s="194">
        <f t="shared" si="3"/>
        <v>33287.528586278575</v>
      </c>
      <c r="H13" s="194">
        <f t="shared" si="3"/>
        <v>93205.080041580033</v>
      </c>
      <c r="I13" s="194">
        <f t="shared" si="3"/>
        <v>186410.16008316007</v>
      </c>
      <c r="K13" s="52"/>
      <c r="L13" s="53"/>
      <c r="M13" s="54"/>
      <c r="N13" s="85"/>
      <c r="O13" s="84">
        <f t="shared" si="4"/>
        <v>0</v>
      </c>
      <c r="P13">
        <v>4.81E-3</v>
      </c>
      <c r="Q13">
        <f t="shared" si="5"/>
        <v>0.93933165018782683</v>
      </c>
      <c r="R13">
        <f t="shared" si="6"/>
        <v>2.3859023914770803</v>
      </c>
      <c r="S13">
        <f t="shared" si="7"/>
        <v>0.44686405485000791</v>
      </c>
    </row>
    <row r="14" spans="2:19" x14ac:dyDescent="0.25">
      <c r="B14" s="88" t="s">
        <v>66</v>
      </c>
      <c r="C14" s="151">
        <f t="shared" si="1"/>
        <v>3.0961546398944817</v>
      </c>
      <c r="D14" s="151">
        <f t="shared" si="2"/>
        <v>0.75251535224221699</v>
      </c>
      <c r="E14" s="193">
        <f t="shared" si="3"/>
        <v>2651.1087037037037</v>
      </c>
      <c r="F14" s="193">
        <f t="shared" si="3"/>
        <v>7255.6659259259268</v>
      </c>
      <c r="G14" s="193">
        <f t="shared" si="3"/>
        <v>19767.03858024691</v>
      </c>
      <c r="H14" s="193">
        <f t="shared" si="3"/>
        <v>55347.708024691361</v>
      </c>
      <c r="I14" s="193">
        <f t="shared" si="3"/>
        <v>110695.41604938272</v>
      </c>
      <c r="K14" s="44"/>
      <c r="L14" s="45"/>
      <c r="M14" s="46"/>
      <c r="N14" s="86"/>
      <c r="O14" s="84">
        <f t="shared" si="4"/>
        <v>0</v>
      </c>
      <c r="P14">
        <v>8.0999999999999996E-3</v>
      </c>
      <c r="Q14">
        <f t="shared" si="5"/>
        <v>1.2189585196434967</v>
      </c>
      <c r="R14">
        <f t="shared" si="6"/>
        <v>3.0961546398944817</v>
      </c>
      <c r="S14">
        <f t="shared" si="7"/>
        <v>0.75251535224221699</v>
      </c>
    </row>
    <row r="15" spans="2:19" x14ac:dyDescent="0.25">
      <c r="B15" s="89" t="s">
        <v>67</v>
      </c>
      <c r="C15" s="152">
        <f t="shared" si="1"/>
        <v>4.2691409598456511</v>
      </c>
      <c r="D15" s="152">
        <f t="shared" si="2"/>
        <v>1.4307082005592768</v>
      </c>
      <c r="E15" s="194">
        <f t="shared" si="3"/>
        <v>1394.4143181818181</v>
      </c>
      <c r="F15" s="194">
        <f t="shared" si="3"/>
        <v>3816.2918181818181</v>
      </c>
      <c r="G15" s="194">
        <f t="shared" si="3"/>
        <v>10396.94886363636</v>
      </c>
      <c r="H15" s="194">
        <f t="shared" si="3"/>
        <v>29111.456818181818</v>
      </c>
      <c r="I15" s="194">
        <f t="shared" si="3"/>
        <v>58222.913636363635</v>
      </c>
      <c r="K15" s="52"/>
      <c r="L15" s="53"/>
      <c r="M15" s="54"/>
      <c r="N15" s="85"/>
      <c r="O15" s="84">
        <f t="shared" si="4"/>
        <v>0</v>
      </c>
      <c r="P15">
        <v>1.54E-2</v>
      </c>
      <c r="Q15">
        <f t="shared" si="5"/>
        <v>1.6807641574195478</v>
      </c>
      <c r="R15">
        <f t="shared" si="6"/>
        <v>4.2691409598456511</v>
      </c>
      <c r="S15">
        <f t="shared" si="7"/>
        <v>1.4307082005592768</v>
      </c>
    </row>
    <row r="16" spans="2:19" x14ac:dyDescent="0.25">
      <c r="B16" s="88" t="s">
        <v>68</v>
      </c>
      <c r="C16" s="151">
        <f t="shared" si="1"/>
        <v>5.1831414717257696</v>
      </c>
      <c r="D16" s="151">
        <f t="shared" si="2"/>
        <v>2.1089010488763367</v>
      </c>
      <c r="E16" s="193">
        <f t="shared" si="3"/>
        <v>945.99033039647577</v>
      </c>
      <c r="F16" s="193">
        <f t="shared" si="3"/>
        <v>2589.0261674008811</v>
      </c>
      <c r="G16" s="193">
        <f t="shared" si="3"/>
        <v>7053.436674008809</v>
      </c>
      <c r="H16" s="193">
        <f t="shared" si="3"/>
        <v>19749.62268722467</v>
      </c>
      <c r="I16" s="193">
        <f t="shared" si="3"/>
        <v>39499.24537444934</v>
      </c>
      <c r="K16" s="44"/>
      <c r="L16" s="45"/>
      <c r="M16" s="46"/>
      <c r="N16" s="86"/>
      <c r="O16" s="84">
        <f t="shared" si="4"/>
        <v>0</v>
      </c>
      <c r="P16">
        <v>2.2700000000000001E-2</v>
      </c>
      <c r="Q16">
        <f t="shared" si="5"/>
        <v>2.0406068786321927</v>
      </c>
      <c r="R16">
        <f t="shared" si="6"/>
        <v>5.1831414717257696</v>
      </c>
      <c r="S16">
        <f t="shared" si="7"/>
        <v>2.1089010488763367</v>
      </c>
    </row>
    <row r="17" spans="2:19" x14ac:dyDescent="0.25">
      <c r="B17" s="89" t="s">
        <v>69</v>
      </c>
      <c r="C17" s="152">
        <f t="shared" si="1"/>
        <v>6.0862852527912255</v>
      </c>
      <c r="D17" s="152">
        <f t="shared" si="2"/>
        <v>2.9078679660717772</v>
      </c>
      <c r="E17" s="194">
        <f t="shared" si="3"/>
        <v>686.06966453674113</v>
      </c>
      <c r="F17" s="194">
        <f t="shared" si="3"/>
        <v>1877.6643450479232</v>
      </c>
      <c r="G17" s="194">
        <f t="shared" si="3"/>
        <v>5115.4317092651736</v>
      </c>
      <c r="H17" s="194">
        <f t="shared" si="3"/>
        <v>14323.20878594249</v>
      </c>
      <c r="I17" s="194">
        <f t="shared" si="3"/>
        <v>28646.41757188498</v>
      </c>
      <c r="K17" s="52"/>
      <c r="L17" s="53"/>
      <c r="M17" s="54"/>
      <c r="N17" s="85"/>
      <c r="O17" s="84">
        <f t="shared" si="4"/>
        <v>0</v>
      </c>
      <c r="P17">
        <v>3.1300000000000001E-2</v>
      </c>
      <c r="Q17">
        <f t="shared" si="5"/>
        <v>2.3961752963744982</v>
      </c>
      <c r="R17">
        <f t="shared" si="6"/>
        <v>6.0862852527912255</v>
      </c>
      <c r="S17">
        <f t="shared" si="7"/>
        <v>2.9078679660717772</v>
      </c>
    </row>
    <row r="18" spans="2:19" x14ac:dyDescent="0.25">
      <c r="B18" s="88" t="s">
        <v>70</v>
      </c>
      <c r="C18" s="151">
        <f t="shared" si="1"/>
        <v>6.6262388905317104</v>
      </c>
      <c r="D18" s="151">
        <f t="shared" si="2"/>
        <v>3.4467061195291673</v>
      </c>
      <c r="E18" s="193">
        <f t="shared" si="3"/>
        <v>578.81349056603767</v>
      </c>
      <c r="F18" s="193">
        <f t="shared" si="3"/>
        <v>1584.1211320754715</v>
      </c>
      <c r="G18" s="193">
        <f t="shared" si="3"/>
        <v>4315.714622641508</v>
      </c>
      <c r="H18" s="193">
        <f t="shared" si="3"/>
        <v>12084.000943396226</v>
      </c>
      <c r="I18" s="193">
        <f t="shared" si="3"/>
        <v>24168.001886792452</v>
      </c>
      <c r="K18" s="44"/>
      <c r="L18" s="45"/>
      <c r="M18" s="46"/>
      <c r="N18" s="86"/>
      <c r="O18" s="84">
        <f t="shared" si="4"/>
        <v>0</v>
      </c>
      <c r="P18">
        <v>3.7100000000000001E-2</v>
      </c>
      <c r="Q18">
        <f t="shared" si="5"/>
        <v>2.6087554687132717</v>
      </c>
      <c r="R18">
        <f t="shared" si="6"/>
        <v>6.6262388905317104</v>
      </c>
      <c r="S18">
        <f t="shared" si="7"/>
        <v>3.4467061195291673</v>
      </c>
    </row>
    <row r="19" spans="2:19" x14ac:dyDescent="0.25">
      <c r="B19" s="89" t="s">
        <v>71</v>
      </c>
      <c r="C19" s="152">
        <f t="shared" si="1"/>
        <v>7.8145681886155609</v>
      </c>
      <c r="D19" s="152">
        <f t="shared" si="2"/>
        <v>4.7938015031726415</v>
      </c>
      <c r="E19" s="194">
        <f t="shared" si="3"/>
        <v>416.16241279069772</v>
      </c>
      <c r="F19" s="194">
        <f t="shared" si="3"/>
        <v>1138.9708139534885</v>
      </c>
      <c r="G19" s="194">
        <f t="shared" si="3"/>
        <v>3102.9653585271312</v>
      </c>
      <c r="H19" s="194">
        <f t="shared" si="3"/>
        <v>8688.3030038759698</v>
      </c>
      <c r="I19" s="194">
        <f t="shared" si="3"/>
        <v>17376.60600775194</v>
      </c>
      <c r="K19" s="52"/>
      <c r="L19" s="53"/>
      <c r="M19" s="54"/>
      <c r="N19" s="85"/>
      <c r="O19" s="84">
        <f t="shared" si="4"/>
        <v>0</v>
      </c>
      <c r="P19">
        <v>5.16E-2</v>
      </c>
      <c r="Q19">
        <f t="shared" si="5"/>
        <v>3.0766016490612444</v>
      </c>
      <c r="R19">
        <f t="shared" si="6"/>
        <v>7.8145681886155609</v>
      </c>
      <c r="S19">
        <f t="shared" si="7"/>
        <v>4.7938015031726415</v>
      </c>
    </row>
    <row r="20" spans="2:19" x14ac:dyDescent="0.25">
      <c r="B20" s="88" t="s">
        <v>72</v>
      </c>
      <c r="C20" s="151">
        <f t="shared" si="1"/>
        <v>9.9646285615383956</v>
      </c>
      <c r="D20" s="151">
        <f t="shared" si="2"/>
        <v>7.7945725991508654</v>
      </c>
      <c r="E20" s="193">
        <f t="shared" si="3"/>
        <v>255.9473241954708</v>
      </c>
      <c r="F20" s="193">
        <f t="shared" si="3"/>
        <v>700.48741358760424</v>
      </c>
      <c r="G20" s="193">
        <f t="shared" si="3"/>
        <v>1908.3791716328958</v>
      </c>
      <c r="H20" s="193">
        <f t="shared" si="3"/>
        <v>5343.4616805721098</v>
      </c>
      <c r="I20" s="193">
        <f t="shared" si="3"/>
        <v>10686.92336114422</v>
      </c>
      <c r="K20" s="44"/>
      <c r="L20" s="45"/>
      <c r="M20" s="46"/>
      <c r="N20" s="86"/>
      <c r="O20" s="84">
        <f t="shared" si="4"/>
        <v>0</v>
      </c>
      <c r="P20">
        <v>8.3900000000000002E-2</v>
      </c>
      <c r="Q20">
        <f t="shared" si="5"/>
        <v>3.9230821108418881</v>
      </c>
      <c r="R20">
        <f t="shared" si="6"/>
        <v>9.9646285615383956</v>
      </c>
      <c r="S20">
        <f t="shared" si="7"/>
        <v>7.7945725991508654</v>
      </c>
    </row>
    <row r="21" spans="2:19" x14ac:dyDescent="0.25">
      <c r="B21" s="89" t="s">
        <v>73</v>
      </c>
      <c r="C21" s="152">
        <f t="shared" si="1"/>
        <v>12.779671118043309</v>
      </c>
      <c r="D21" s="152">
        <f t="shared" si="2"/>
        <v>12.820631927089625</v>
      </c>
      <c r="E21" s="194">
        <f t="shared" si="3"/>
        <v>155.60855434782607</v>
      </c>
      <c r="F21" s="194">
        <f t="shared" si="3"/>
        <v>425.87604347826084</v>
      </c>
      <c r="G21" s="194">
        <f t="shared" si="3"/>
        <v>1160.2392210144924</v>
      </c>
      <c r="H21" s="194">
        <f t="shared" si="3"/>
        <v>3248.6698188405794</v>
      </c>
      <c r="I21" s="194">
        <f t="shared" si="3"/>
        <v>6497.3396376811588</v>
      </c>
      <c r="K21" s="52"/>
      <c r="L21" s="53"/>
      <c r="M21" s="54"/>
      <c r="N21" s="85"/>
      <c r="O21" s="84">
        <f t="shared" si="4"/>
        <v>0</v>
      </c>
      <c r="P21">
        <v>0.13800000000000001</v>
      </c>
      <c r="Q21">
        <f t="shared" si="5"/>
        <v>5.0313665819068145</v>
      </c>
      <c r="R21">
        <f t="shared" si="6"/>
        <v>12.779671118043309</v>
      </c>
      <c r="S21">
        <f t="shared" si="7"/>
        <v>12.820631927089625</v>
      </c>
    </row>
    <row r="22" spans="2:19" x14ac:dyDescent="0.25">
      <c r="B22" s="88" t="s">
        <v>74</v>
      </c>
      <c r="C22" s="151">
        <f t="shared" si="1"/>
        <v>14.756693120314381</v>
      </c>
      <c r="D22" s="151">
        <f t="shared" si="2"/>
        <v>17.094175902786166</v>
      </c>
      <c r="E22" s="193">
        <f t="shared" si="3"/>
        <v>116.70641576086956</v>
      </c>
      <c r="F22" s="193">
        <f t="shared" si="3"/>
        <v>319.40703260869566</v>
      </c>
      <c r="G22" s="193">
        <f t="shared" si="3"/>
        <v>870.17941576086935</v>
      </c>
      <c r="H22" s="193">
        <f t="shared" si="3"/>
        <v>2436.5023641304347</v>
      </c>
      <c r="I22" s="193">
        <f t="shared" si="3"/>
        <v>4873.0047282608693</v>
      </c>
      <c r="K22" s="44"/>
      <c r="L22" s="45"/>
      <c r="M22" s="46"/>
      <c r="N22" s="86"/>
      <c r="O22" s="84">
        <f t="shared" si="4"/>
        <v>0</v>
      </c>
      <c r="P22">
        <v>0.184</v>
      </c>
      <c r="Q22">
        <f t="shared" si="5"/>
        <v>5.8097217009111732</v>
      </c>
      <c r="R22">
        <f t="shared" si="6"/>
        <v>14.756693120314381</v>
      </c>
      <c r="S22">
        <f t="shared" si="7"/>
        <v>17.094175902786166</v>
      </c>
    </row>
    <row r="23" spans="2:19" x14ac:dyDescent="0.25">
      <c r="B23" s="89" t="s">
        <v>75</v>
      </c>
      <c r="C23" s="152">
        <f t="shared" si="1"/>
        <v>19.611996848413106</v>
      </c>
      <c r="D23" s="152">
        <f t="shared" si="2"/>
        <v>30.19351721959513</v>
      </c>
      <c r="E23" s="194">
        <f t="shared" si="3"/>
        <v>66.073786153846157</v>
      </c>
      <c r="F23" s="194">
        <f t="shared" si="3"/>
        <v>180.83351999999999</v>
      </c>
      <c r="G23" s="194">
        <f t="shared" si="3"/>
        <v>492.65542307692294</v>
      </c>
      <c r="H23" s="194">
        <f t="shared" si="3"/>
        <v>1379.4351846153845</v>
      </c>
      <c r="I23" s="194">
        <f t="shared" si="3"/>
        <v>2758.870369230769</v>
      </c>
      <c r="K23" s="52"/>
      <c r="L23" s="53"/>
      <c r="M23" s="54"/>
      <c r="N23" s="85"/>
      <c r="O23" s="84">
        <f t="shared" si="4"/>
        <v>0</v>
      </c>
      <c r="P23">
        <v>0.32500000000000001</v>
      </c>
      <c r="Q23">
        <f t="shared" si="5"/>
        <v>7.7212586017374436</v>
      </c>
      <c r="R23">
        <f t="shared" si="6"/>
        <v>19.611996848413106</v>
      </c>
      <c r="S23">
        <f t="shared" si="7"/>
        <v>30.19351721959513</v>
      </c>
    </row>
    <row r="24" spans="2:19" x14ac:dyDescent="0.25">
      <c r="B24" s="88" t="s">
        <v>76</v>
      </c>
      <c r="C24" s="151">
        <f t="shared" si="1"/>
        <v>22.611116503926564</v>
      </c>
      <c r="D24" s="151">
        <f t="shared" si="2"/>
        <v>40.134152119584911</v>
      </c>
      <c r="E24" s="193">
        <f t="shared" si="3"/>
        <v>49.708288194444442</v>
      </c>
      <c r="F24" s="193">
        <f t="shared" si="3"/>
        <v>136.04373611111112</v>
      </c>
      <c r="G24" s="193">
        <f t="shared" si="3"/>
        <v>370.63197337962953</v>
      </c>
      <c r="H24" s="193">
        <f t="shared" si="3"/>
        <v>1037.769525462963</v>
      </c>
      <c r="I24" s="193">
        <f t="shared" si="3"/>
        <v>2075.5390509259259</v>
      </c>
      <c r="K24" s="44"/>
      <c r="L24" s="45"/>
      <c r="M24" s="46"/>
      <c r="N24" s="86"/>
      <c r="O24" s="84">
        <f t="shared" si="4"/>
        <v>0</v>
      </c>
      <c r="P24">
        <v>0.432</v>
      </c>
      <c r="Q24">
        <f t="shared" si="5"/>
        <v>8.9020143716246309</v>
      </c>
      <c r="R24">
        <f t="shared" si="6"/>
        <v>22.611116503926564</v>
      </c>
      <c r="S24">
        <f t="shared" si="7"/>
        <v>40.134152119584911</v>
      </c>
    </row>
    <row r="25" spans="2:19" x14ac:dyDescent="0.25">
      <c r="B25" s="90" t="s">
        <v>61</v>
      </c>
      <c r="C25" s="153">
        <f t="shared" si="1"/>
        <v>1.787565714795788</v>
      </c>
      <c r="D25" s="153">
        <f t="shared" si="2"/>
        <v>0.25083845074740568</v>
      </c>
      <c r="E25" s="195">
        <f t="shared" si="3"/>
        <v>7953.3261111111105</v>
      </c>
      <c r="F25" s="195">
        <f t="shared" si="3"/>
        <v>21766.997777777779</v>
      </c>
      <c r="G25" s="195">
        <f t="shared" si="3"/>
        <v>59301.115740740723</v>
      </c>
      <c r="H25" s="195">
        <f t="shared" si="3"/>
        <v>166043.12407407406</v>
      </c>
      <c r="I25" s="195">
        <f t="shared" si="3"/>
        <v>332086.24814814812</v>
      </c>
      <c r="K25" s="92"/>
      <c r="L25" s="93"/>
      <c r="M25" s="94"/>
      <c r="N25" s="95"/>
      <c r="O25" s="84">
        <f t="shared" si="4"/>
        <v>0</v>
      </c>
      <c r="P25">
        <v>2.7000000000000001E-3</v>
      </c>
      <c r="Q25">
        <f>SQRT(P25*4/3.14)*12</f>
        <v>0.7037660294471606</v>
      </c>
      <c r="R25">
        <f t="shared" si="6"/>
        <v>1.787565714795788</v>
      </c>
      <c r="S25">
        <f t="shared" si="7"/>
        <v>0.25083845074740568</v>
      </c>
    </row>
    <row r="26" spans="2:19" x14ac:dyDescent="0.25">
      <c r="B26" s="88" t="s">
        <v>60</v>
      </c>
      <c r="C26" s="151">
        <f t="shared" si="1"/>
        <v>3.4913930787829157</v>
      </c>
      <c r="D26" s="151">
        <f t="shared" si="2"/>
        <v>0.95690223803639951</v>
      </c>
      <c r="E26" s="193">
        <f t="shared" si="3"/>
        <v>2084.8524757281552</v>
      </c>
      <c r="F26" s="193">
        <f t="shared" si="3"/>
        <v>5705.9120388349511</v>
      </c>
      <c r="G26" s="193">
        <f t="shared" si="3"/>
        <v>15544.952669902908</v>
      </c>
      <c r="H26" s="193">
        <f t="shared" si="3"/>
        <v>43525.867475728155</v>
      </c>
      <c r="I26" s="193">
        <f t="shared" si="3"/>
        <v>87051.73495145631</v>
      </c>
      <c r="K26" s="44"/>
      <c r="L26" s="45"/>
      <c r="M26" s="46"/>
      <c r="N26" s="86"/>
      <c r="O26" s="84">
        <f t="shared" si="4"/>
        <v>0</v>
      </c>
      <c r="P26">
        <v>1.03E-2</v>
      </c>
      <c r="Q26">
        <f>SQRT(P26*4/3.14)*12</f>
        <v>1.3745642042452424</v>
      </c>
      <c r="R26">
        <f t="shared" si="6"/>
        <v>3.4913930787829157</v>
      </c>
      <c r="S26">
        <f t="shared" si="7"/>
        <v>0.95690223803639951</v>
      </c>
    </row>
    <row r="27" spans="2:19" x14ac:dyDescent="0.25">
      <c r="B27" s="90" t="s">
        <v>9</v>
      </c>
      <c r="C27" s="153">
        <f t="shared" si="1"/>
        <v>6.9232122436554446</v>
      </c>
      <c r="D27" s="153">
        <f t="shared" si="2"/>
        <v>3.7625767612110854</v>
      </c>
      <c r="E27" s="195">
        <f t="shared" si="3"/>
        <v>530.22174074074076</v>
      </c>
      <c r="F27" s="195">
        <f t="shared" si="3"/>
        <v>1451.1331851851851</v>
      </c>
      <c r="G27" s="195">
        <f t="shared" si="3"/>
        <v>3953.4077160493816</v>
      </c>
      <c r="H27" s="195">
        <f t="shared" si="3"/>
        <v>11069.541604938271</v>
      </c>
      <c r="I27" s="195">
        <f t="shared" si="3"/>
        <v>22139.083209876542</v>
      </c>
      <c r="K27" s="92"/>
      <c r="L27" s="93"/>
      <c r="M27" s="94"/>
      <c r="N27" s="95"/>
      <c r="O27" s="84">
        <f t="shared" si="4"/>
        <v>0</v>
      </c>
      <c r="P27">
        <v>4.0500000000000001E-2</v>
      </c>
      <c r="Q27">
        <f>SQRT(P27*4/3.14)*12</f>
        <v>2.7256741116753718</v>
      </c>
      <c r="R27">
        <f t="shared" si="6"/>
        <v>6.9232122436554446</v>
      </c>
      <c r="S27">
        <f t="shared" si="7"/>
        <v>3.7625767612110854</v>
      </c>
    </row>
    <row r="28" spans="2:19" x14ac:dyDescent="0.25">
      <c r="B28" s="88" t="s">
        <v>7</v>
      </c>
      <c r="C28" s="151">
        <f t="shared" si="1"/>
        <v>9.0037913033563211</v>
      </c>
      <c r="D28" s="151">
        <f t="shared" si="2"/>
        <v>6.3638643985915895</v>
      </c>
      <c r="E28" s="193">
        <f t="shared" si="3"/>
        <v>313.48876642335762</v>
      </c>
      <c r="F28" s="193">
        <f t="shared" si="3"/>
        <v>857.96925547445244</v>
      </c>
      <c r="G28" s="193">
        <f t="shared" si="3"/>
        <v>2337.4162408759116</v>
      </c>
      <c r="H28" s="193">
        <f t="shared" si="3"/>
        <v>6544.7654744525535</v>
      </c>
      <c r="I28" s="193">
        <f t="shared" si="3"/>
        <v>13089.530948905107</v>
      </c>
      <c r="K28" s="44"/>
      <c r="L28" s="45"/>
      <c r="M28" s="46"/>
      <c r="N28" s="86"/>
      <c r="O28" s="84">
        <f t="shared" si="4"/>
        <v>0</v>
      </c>
      <c r="P28">
        <v>6.8500000000000005E-2</v>
      </c>
      <c r="Q28">
        <f t="shared" ref="Q28:Q32" si="8">SQRT(P28*4/3.14)*12</f>
        <v>3.5447997257308352</v>
      </c>
      <c r="R28">
        <f t="shared" si="6"/>
        <v>9.0037913033563211</v>
      </c>
      <c r="S28">
        <f t="shared" si="7"/>
        <v>6.3638643985915895</v>
      </c>
    </row>
    <row r="29" spans="2:19" x14ac:dyDescent="0.25">
      <c r="B29" s="90" t="s">
        <v>0</v>
      </c>
      <c r="C29" s="153">
        <f t="shared" si="1"/>
        <v>13.674412536433167</v>
      </c>
      <c r="D29" s="153">
        <f t="shared" si="2"/>
        <v>14.678694525218555</v>
      </c>
      <c r="E29" s="195">
        <f t="shared" si="3"/>
        <v>135.91126898734177</v>
      </c>
      <c r="F29" s="195">
        <f t="shared" si="3"/>
        <v>371.96768354430378</v>
      </c>
      <c r="G29" s="195">
        <f t="shared" si="3"/>
        <v>1013.3734968354428</v>
      </c>
      <c r="H29" s="195">
        <f t="shared" si="3"/>
        <v>2837.4457911392406</v>
      </c>
      <c r="I29" s="195">
        <f t="shared" si="3"/>
        <v>5674.8915822784811</v>
      </c>
      <c r="K29" s="92"/>
      <c r="L29" s="93"/>
      <c r="M29" s="94"/>
      <c r="N29" s="95"/>
      <c r="O29" s="84">
        <f t="shared" si="4"/>
        <v>0</v>
      </c>
      <c r="P29">
        <v>0.158</v>
      </c>
      <c r="Q29">
        <f t="shared" si="8"/>
        <v>5.3836269828477032</v>
      </c>
      <c r="R29">
        <f t="shared" si="6"/>
        <v>13.674412536433167</v>
      </c>
      <c r="S29">
        <f t="shared" si="7"/>
        <v>14.678694525218555</v>
      </c>
    </row>
    <row r="30" spans="2:19" x14ac:dyDescent="0.25">
      <c r="B30" s="88" t="s">
        <v>6</v>
      </c>
      <c r="C30" s="151">
        <f t="shared" si="1"/>
        <v>17.027981767001183</v>
      </c>
      <c r="D30" s="151">
        <f t="shared" si="2"/>
        <v>22.761266827079403</v>
      </c>
      <c r="E30" s="193">
        <f t="shared" si="3"/>
        <v>87.648899999999998</v>
      </c>
      <c r="F30" s="193">
        <f t="shared" si="3"/>
        <v>239.88120000000001</v>
      </c>
      <c r="G30" s="193">
        <f t="shared" si="3"/>
        <v>653.52249999999992</v>
      </c>
      <c r="H30" s="193">
        <f t="shared" si="3"/>
        <v>1829.8630000000001</v>
      </c>
      <c r="I30" s="193">
        <f t="shared" si="3"/>
        <v>3659.7260000000001</v>
      </c>
      <c r="K30" s="44"/>
      <c r="L30" s="45"/>
      <c r="M30" s="46"/>
      <c r="N30" s="86"/>
      <c r="O30" s="84">
        <f t="shared" si="4"/>
        <v>0</v>
      </c>
      <c r="P30">
        <v>0.245</v>
      </c>
      <c r="Q30">
        <f t="shared" si="8"/>
        <v>6.7039298295280254</v>
      </c>
      <c r="R30">
        <f t="shared" si="6"/>
        <v>17.027981767001183</v>
      </c>
      <c r="S30">
        <f t="shared" si="7"/>
        <v>22.761266827079403</v>
      </c>
    </row>
    <row r="31" spans="2:19" x14ac:dyDescent="0.25">
      <c r="B31" s="90" t="s">
        <v>1</v>
      </c>
      <c r="C31" s="153">
        <f t="shared" si="1"/>
        <v>19.460550590858499</v>
      </c>
      <c r="D31" s="153">
        <f t="shared" si="2"/>
        <v>29.729001570062895</v>
      </c>
      <c r="E31" s="195">
        <f t="shared" si="3"/>
        <v>67.106189062500007</v>
      </c>
      <c r="F31" s="195">
        <f t="shared" si="3"/>
        <v>183.65904375</v>
      </c>
      <c r="G31" s="195">
        <f t="shared" si="3"/>
        <v>500.3531640624999</v>
      </c>
      <c r="H31" s="195">
        <f t="shared" si="3"/>
        <v>1400.9888593749999</v>
      </c>
      <c r="I31" s="195">
        <f t="shared" si="3"/>
        <v>2801.9777187499999</v>
      </c>
      <c r="K31" s="92"/>
      <c r="L31" s="93"/>
      <c r="M31" s="94"/>
      <c r="N31" s="95"/>
      <c r="O31" s="84">
        <f t="shared" si="4"/>
        <v>0</v>
      </c>
      <c r="P31">
        <v>0.32</v>
      </c>
      <c r="Q31">
        <f t="shared" si="8"/>
        <v>7.6616340908891729</v>
      </c>
      <c r="R31">
        <f t="shared" si="6"/>
        <v>19.460550590858499</v>
      </c>
      <c r="S31">
        <f t="shared" si="7"/>
        <v>29.729001570062895</v>
      </c>
    </row>
    <row r="32" spans="2:19" ht="15.75" thickBot="1" x14ac:dyDescent="0.3">
      <c r="B32" s="88" t="s">
        <v>77</v>
      </c>
      <c r="C32" s="151">
        <f t="shared" si="1"/>
        <v>20.583614880012263</v>
      </c>
      <c r="D32" s="151">
        <f t="shared" si="2"/>
        <v>33.259320506507862</v>
      </c>
      <c r="E32" s="193">
        <f t="shared" si="3"/>
        <v>59.983185754189947</v>
      </c>
      <c r="F32" s="193">
        <f t="shared" si="3"/>
        <v>164.16450837988828</v>
      </c>
      <c r="G32" s="193">
        <f t="shared" si="3"/>
        <v>447.2430516759776</v>
      </c>
      <c r="H32" s="193">
        <f t="shared" si="3"/>
        <v>1252.2805446927375</v>
      </c>
      <c r="I32" s="193">
        <f t="shared" si="3"/>
        <v>2504.561089385475</v>
      </c>
      <c r="K32" s="44"/>
      <c r="L32" s="45"/>
      <c r="M32" s="46"/>
      <c r="N32" s="86"/>
      <c r="O32" s="84">
        <f t="shared" si="4"/>
        <v>0</v>
      </c>
      <c r="P32">
        <v>0.35799999999999998</v>
      </c>
      <c r="Q32">
        <f t="shared" si="8"/>
        <v>8.1037853858315998</v>
      </c>
      <c r="R32">
        <f t="shared" si="6"/>
        <v>20.583614880012263</v>
      </c>
      <c r="S32">
        <f t="shared" si="7"/>
        <v>33.259320506507862</v>
      </c>
    </row>
    <row r="33" spans="2:15" ht="15.75" thickBot="1" x14ac:dyDescent="0.3">
      <c r="B33" s="101"/>
      <c r="C33" s="39"/>
      <c r="D33" s="39"/>
      <c r="E33" s="39"/>
      <c r="F33" s="39"/>
      <c r="G33" s="39"/>
      <c r="H33" s="39"/>
      <c r="I33" s="40"/>
      <c r="K33" s="379" t="s">
        <v>227</v>
      </c>
      <c r="L33" s="380"/>
      <c r="M33" s="380"/>
      <c r="N33" s="381"/>
      <c r="O33" s="55">
        <f>ROUND(SUM(O10:O32),2)</f>
        <v>0</v>
      </c>
    </row>
    <row r="34" spans="2:15" ht="15.75" thickBot="1" x14ac:dyDescent="0.3">
      <c r="B34" s="96"/>
      <c r="C34" s="97"/>
      <c r="D34" s="97"/>
      <c r="E34" s="97"/>
      <c r="F34" s="97"/>
      <c r="G34" s="97"/>
      <c r="H34" s="97"/>
      <c r="I34" s="98"/>
      <c r="K34" s="379" t="s">
        <v>84</v>
      </c>
      <c r="L34" s="380"/>
      <c r="M34" s="380"/>
      <c r="N34" s="381"/>
      <c r="O34" s="10" t="str">
        <f>IF(O33&lt;=E7,E2,IF(O33&lt;=F7,F2,IF(O33&lt;=G7,G2,IF(O33&lt;=H7,H2,I2))))</f>
        <v>BD210W Series</v>
      </c>
    </row>
    <row r="35" spans="2:15" ht="15.75" thickBot="1" x14ac:dyDescent="0.3">
      <c r="B35" s="41"/>
      <c r="C35" s="42"/>
      <c r="D35" s="42"/>
      <c r="E35" s="42"/>
      <c r="F35" s="42"/>
      <c r="G35" s="42"/>
      <c r="H35" s="42"/>
      <c r="I35" s="43"/>
      <c r="K35" s="379" t="s">
        <v>209</v>
      </c>
      <c r="L35" s="380"/>
      <c r="M35" s="380"/>
      <c r="N35" s="381"/>
      <c r="O35" s="100">
        <f>IF(O34=E2,O33*((5+14.7)/14.7)/E3/60,IF(O34=F2,O33*((5+14.7)/14.7)/F3/60,IF(O34=G2,O33*((5+14.7)/14.7)/G3/60,IF(O34=H2,O33*((5+14.7)/14.7)/H3/60,IF(O34=I2,O33*((5+14.7)/14.7)/I3/60)))))</f>
        <v>0</v>
      </c>
    </row>
    <row r="37" spans="2:15" ht="15.75" hidden="1" thickBot="1" x14ac:dyDescent="0.3">
      <c r="B37" s="5" t="s">
        <v>82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</row>
    <row r="38" spans="2:15" ht="45.75" hidden="1" customHeight="1" thickBot="1" x14ac:dyDescent="0.3">
      <c r="B38" s="2" t="s">
        <v>33</v>
      </c>
      <c r="C38" s="144" t="s">
        <v>34</v>
      </c>
      <c r="D38" s="2" t="s">
        <v>39</v>
      </c>
      <c r="E38" s="2" t="s">
        <v>49</v>
      </c>
      <c r="F38" s="2" t="s">
        <v>83</v>
      </c>
      <c r="G38" s="2" t="s">
        <v>38</v>
      </c>
      <c r="H38" s="2" t="s">
        <v>47</v>
      </c>
      <c r="I38" s="23" t="s">
        <v>40</v>
      </c>
      <c r="J38" s="11"/>
      <c r="K38" s="438" t="s">
        <v>11</v>
      </c>
      <c r="L38" s="439"/>
      <c r="M38" s="439"/>
      <c r="N38" s="439"/>
      <c r="O38" s="440"/>
    </row>
    <row r="39" spans="2:15" ht="15" hidden="1" customHeight="1" x14ac:dyDescent="0.25">
      <c r="B39" s="441" t="s">
        <v>46</v>
      </c>
      <c r="C39" s="408" t="s">
        <v>12</v>
      </c>
      <c r="D39" s="430">
        <v>0.12</v>
      </c>
      <c r="E39" s="431">
        <v>173</v>
      </c>
      <c r="F39" s="431">
        <v>37</v>
      </c>
      <c r="G39" s="431">
        <v>120</v>
      </c>
      <c r="H39" s="432" t="s">
        <v>16</v>
      </c>
      <c r="I39" s="77" t="s">
        <v>192</v>
      </c>
      <c r="J39" s="17"/>
      <c r="K39" s="428" t="s">
        <v>13</v>
      </c>
      <c r="L39" s="428"/>
      <c r="M39" s="428"/>
      <c r="N39" s="428"/>
      <c r="O39" s="429"/>
    </row>
    <row r="40" spans="2:15" hidden="1" x14ac:dyDescent="0.25">
      <c r="B40" s="442"/>
      <c r="C40" s="409"/>
      <c r="D40" s="416"/>
      <c r="E40" s="418"/>
      <c r="F40" s="418"/>
      <c r="G40" s="418"/>
      <c r="H40" s="420"/>
      <c r="I40" s="78" t="s">
        <v>193</v>
      </c>
      <c r="J40" s="18"/>
      <c r="K40" s="400" t="s">
        <v>14</v>
      </c>
      <c r="L40" s="400"/>
      <c r="M40" s="400"/>
      <c r="N40" s="400"/>
      <c r="O40" s="401"/>
    </row>
    <row r="41" spans="2:15" ht="15" hidden="1" customHeight="1" x14ac:dyDescent="0.25">
      <c r="B41" s="442"/>
      <c r="C41" s="444" t="s">
        <v>15</v>
      </c>
      <c r="D41" s="415">
        <v>0.5</v>
      </c>
      <c r="E41" s="417">
        <v>720</v>
      </c>
      <c r="F41" s="417">
        <v>127</v>
      </c>
      <c r="G41" s="417">
        <v>120</v>
      </c>
      <c r="H41" s="419" t="s">
        <v>16</v>
      </c>
      <c r="I41" s="78" t="s">
        <v>193</v>
      </c>
      <c r="J41" s="18"/>
      <c r="K41" s="400" t="s">
        <v>17</v>
      </c>
      <c r="L41" s="400"/>
      <c r="M41" s="400"/>
      <c r="N41" s="400"/>
      <c r="O41" s="401"/>
    </row>
    <row r="42" spans="2:15" hidden="1" x14ac:dyDescent="0.25">
      <c r="B42" s="442"/>
      <c r="C42" s="409"/>
      <c r="D42" s="416"/>
      <c r="E42" s="418"/>
      <c r="F42" s="418"/>
      <c r="G42" s="418"/>
      <c r="H42" s="420"/>
      <c r="I42" s="78" t="s">
        <v>194</v>
      </c>
      <c r="J42" s="18"/>
      <c r="K42" s="400" t="s">
        <v>18</v>
      </c>
      <c r="L42" s="400"/>
      <c r="M42" s="400"/>
      <c r="N42" s="400"/>
      <c r="O42" s="401"/>
    </row>
    <row r="43" spans="2:15" ht="15.75" hidden="1" thickBot="1" x14ac:dyDescent="0.3">
      <c r="B43" s="443"/>
      <c r="C43" s="74" t="s">
        <v>19</v>
      </c>
      <c r="D43" s="149">
        <v>0.09</v>
      </c>
      <c r="E43" s="150">
        <v>129</v>
      </c>
      <c r="F43" s="150">
        <v>30</v>
      </c>
      <c r="G43" s="150">
        <v>120</v>
      </c>
      <c r="H43" s="76" t="s">
        <v>20</v>
      </c>
      <c r="I43" s="79" t="s">
        <v>192</v>
      </c>
      <c r="J43" s="19"/>
      <c r="K43" s="445"/>
      <c r="L43" s="445"/>
      <c r="M43" s="445"/>
      <c r="N43" s="445"/>
      <c r="O43" s="446"/>
    </row>
    <row r="44" spans="2:15" ht="9.75" hidden="1" customHeight="1" thickBot="1" x14ac:dyDescent="0.3">
      <c r="B44" s="3"/>
      <c r="C44" s="59"/>
      <c r="D44" s="61"/>
      <c r="E44" s="4"/>
      <c r="F44" s="4"/>
      <c r="G44" s="4"/>
      <c r="H44" s="21"/>
      <c r="I44" s="80"/>
      <c r="J44" s="9"/>
      <c r="K44" s="402"/>
      <c r="L44" s="403"/>
      <c r="M44" s="403"/>
      <c r="N44" s="403"/>
      <c r="O44" s="404"/>
    </row>
    <row r="45" spans="2:15" hidden="1" x14ac:dyDescent="0.25">
      <c r="B45" s="405" t="s">
        <v>21</v>
      </c>
      <c r="C45" s="72" t="s">
        <v>53</v>
      </c>
      <c r="D45" s="430">
        <v>0.5</v>
      </c>
      <c r="E45" s="431">
        <v>750</v>
      </c>
      <c r="F45" s="431">
        <v>193</v>
      </c>
      <c r="G45" s="431">
        <v>120</v>
      </c>
      <c r="H45" s="16" t="s">
        <v>22</v>
      </c>
      <c r="I45" s="77" t="s">
        <v>195</v>
      </c>
      <c r="J45" s="67"/>
      <c r="K45" s="428"/>
      <c r="L45" s="428"/>
      <c r="M45" s="428"/>
      <c r="N45" s="428"/>
      <c r="O45" s="429"/>
    </row>
    <row r="46" spans="2:15" hidden="1" x14ac:dyDescent="0.25">
      <c r="B46" s="406"/>
      <c r="C46" s="73" t="s">
        <v>52</v>
      </c>
      <c r="D46" s="416"/>
      <c r="E46" s="418"/>
      <c r="F46" s="418"/>
      <c r="G46" s="418"/>
      <c r="H46" s="15" t="s">
        <v>23</v>
      </c>
      <c r="I46" s="78" t="s">
        <v>193</v>
      </c>
      <c r="J46" s="51"/>
      <c r="K46" s="400"/>
      <c r="L46" s="400"/>
      <c r="M46" s="400"/>
      <c r="N46" s="400"/>
      <c r="O46" s="401"/>
    </row>
    <row r="47" spans="2:15" hidden="1" x14ac:dyDescent="0.25">
      <c r="B47" s="406"/>
      <c r="C47" s="73" t="s">
        <v>51</v>
      </c>
      <c r="D47" s="415">
        <v>0.75</v>
      </c>
      <c r="E47" s="417">
        <v>1080</v>
      </c>
      <c r="F47" s="417">
        <v>282</v>
      </c>
      <c r="G47" s="417">
        <v>120</v>
      </c>
      <c r="H47" s="15" t="s">
        <v>22</v>
      </c>
      <c r="I47" s="78" t="s">
        <v>196</v>
      </c>
      <c r="J47" s="51"/>
      <c r="K47" s="400"/>
      <c r="L47" s="400"/>
      <c r="M47" s="400"/>
      <c r="N47" s="400"/>
      <c r="O47" s="401"/>
    </row>
    <row r="48" spans="2:15" hidden="1" x14ac:dyDescent="0.25">
      <c r="B48" s="406"/>
      <c r="C48" s="73" t="s">
        <v>50</v>
      </c>
      <c r="D48" s="416"/>
      <c r="E48" s="418"/>
      <c r="F48" s="418"/>
      <c r="G48" s="418"/>
      <c r="H48" s="145" t="s">
        <v>24</v>
      </c>
      <c r="I48" s="81" t="s">
        <v>194</v>
      </c>
      <c r="J48" s="51"/>
      <c r="K48" s="400"/>
      <c r="L48" s="400"/>
      <c r="M48" s="400"/>
      <c r="N48" s="400"/>
      <c r="O48" s="401"/>
    </row>
    <row r="49" spans="2:15" hidden="1" x14ac:dyDescent="0.25">
      <c r="B49" s="406"/>
      <c r="C49" s="414" t="s">
        <v>48</v>
      </c>
      <c r="D49" s="148">
        <v>0.14000000000000001</v>
      </c>
      <c r="E49" s="60">
        <v>300</v>
      </c>
      <c r="F49" s="147">
        <v>81</v>
      </c>
      <c r="G49" s="147">
        <v>120</v>
      </c>
      <c r="H49" s="15" t="s">
        <v>22</v>
      </c>
      <c r="I49" s="78" t="s">
        <v>192</v>
      </c>
      <c r="J49" s="51"/>
      <c r="K49" s="400"/>
      <c r="L49" s="400"/>
      <c r="M49" s="400"/>
      <c r="N49" s="400"/>
      <c r="O49" s="401"/>
    </row>
    <row r="50" spans="2:15" hidden="1" x14ac:dyDescent="0.25">
      <c r="B50" s="406"/>
      <c r="C50" s="409"/>
      <c r="D50" s="148">
        <v>0.11</v>
      </c>
      <c r="E50" s="147">
        <v>240</v>
      </c>
      <c r="F50" s="147" t="s">
        <v>81</v>
      </c>
      <c r="G50" s="147">
        <v>240</v>
      </c>
      <c r="H50" s="15" t="s">
        <v>22</v>
      </c>
      <c r="I50" s="78" t="s">
        <v>197</v>
      </c>
      <c r="J50" s="51"/>
      <c r="K50" s="400"/>
      <c r="L50" s="400"/>
      <c r="M50" s="400"/>
      <c r="N50" s="400"/>
      <c r="O50" s="401"/>
    </row>
    <row r="51" spans="2:15" hidden="1" x14ac:dyDescent="0.25">
      <c r="B51" s="406"/>
      <c r="C51" s="414" t="s">
        <v>45</v>
      </c>
      <c r="D51" s="148">
        <v>0.59</v>
      </c>
      <c r="E51" s="147">
        <v>1000</v>
      </c>
      <c r="F51" s="147">
        <v>209</v>
      </c>
      <c r="G51" s="147">
        <v>120</v>
      </c>
      <c r="H51" s="15" t="s">
        <v>22</v>
      </c>
      <c r="I51" s="78" t="s">
        <v>196</v>
      </c>
      <c r="J51" s="51"/>
      <c r="K51" s="400" t="s">
        <v>202</v>
      </c>
      <c r="L51" s="400"/>
      <c r="M51" s="400"/>
      <c r="N51" s="400"/>
      <c r="O51" s="401"/>
    </row>
    <row r="52" spans="2:15" hidden="1" x14ac:dyDescent="0.25">
      <c r="B52" s="406"/>
      <c r="C52" s="409"/>
      <c r="D52" s="148">
        <v>0.49</v>
      </c>
      <c r="E52" s="147">
        <v>825</v>
      </c>
      <c r="F52" s="147">
        <v>191</v>
      </c>
      <c r="G52" s="147">
        <v>240</v>
      </c>
      <c r="H52" s="15" t="s">
        <v>22</v>
      </c>
      <c r="I52" s="81" t="s">
        <v>198</v>
      </c>
      <c r="J52" s="51"/>
      <c r="K52" s="400" t="s">
        <v>203</v>
      </c>
      <c r="L52" s="400"/>
      <c r="M52" s="400"/>
      <c r="N52" s="400"/>
      <c r="O52" s="401"/>
    </row>
    <row r="53" spans="2:15" hidden="1" x14ac:dyDescent="0.25">
      <c r="B53" s="406"/>
      <c r="C53" s="414">
        <v>2400</v>
      </c>
      <c r="D53" s="415">
        <v>1.7</v>
      </c>
      <c r="E53" s="417">
        <v>3500</v>
      </c>
      <c r="F53" s="417">
        <v>716</v>
      </c>
      <c r="G53" s="147">
        <v>120</v>
      </c>
      <c r="H53" s="15" t="s">
        <v>22</v>
      </c>
      <c r="I53" s="81" t="s">
        <v>199</v>
      </c>
      <c r="J53" s="51"/>
      <c r="K53" s="400" t="s">
        <v>204</v>
      </c>
      <c r="L53" s="400"/>
      <c r="M53" s="400"/>
      <c r="N53" s="400"/>
      <c r="O53" s="401"/>
    </row>
    <row r="54" spans="2:15" hidden="1" x14ac:dyDescent="0.25">
      <c r="B54" s="406"/>
      <c r="C54" s="409"/>
      <c r="D54" s="416"/>
      <c r="E54" s="418"/>
      <c r="F54" s="418"/>
      <c r="G54" s="147">
        <v>240</v>
      </c>
      <c r="H54" s="15" t="s">
        <v>22</v>
      </c>
      <c r="I54" s="81" t="s">
        <v>200</v>
      </c>
      <c r="J54" s="51"/>
      <c r="K54" s="400" t="s">
        <v>205</v>
      </c>
      <c r="L54" s="400"/>
      <c r="M54" s="400"/>
      <c r="N54" s="400"/>
      <c r="O54" s="401"/>
    </row>
    <row r="55" spans="2:15" hidden="1" x14ac:dyDescent="0.25">
      <c r="B55" s="406"/>
      <c r="C55" s="414">
        <v>3200</v>
      </c>
      <c r="D55" s="415">
        <v>2.2000000000000002</v>
      </c>
      <c r="E55" s="417">
        <v>4100</v>
      </c>
      <c r="F55" s="417">
        <v>925</v>
      </c>
      <c r="G55" s="147">
        <v>120</v>
      </c>
      <c r="H55" s="15" t="s">
        <v>22</v>
      </c>
      <c r="I55" s="81" t="s">
        <v>199</v>
      </c>
      <c r="J55" s="51"/>
      <c r="K55" s="400" t="s">
        <v>204</v>
      </c>
      <c r="L55" s="400"/>
      <c r="M55" s="400"/>
      <c r="N55" s="400"/>
      <c r="O55" s="401"/>
    </row>
    <row r="56" spans="2:15" ht="15.75" hidden="1" thickBot="1" x14ac:dyDescent="0.3">
      <c r="B56" s="407"/>
      <c r="C56" s="421"/>
      <c r="D56" s="433"/>
      <c r="E56" s="434"/>
      <c r="F56" s="434"/>
      <c r="G56" s="150">
        <v>240</v>
      </c>
      <c r="H56" s="76" t="s">
        <v>22</v>
      </c>
      <c r="I56" s="79" t="s">
        <v>200</v>
      </c>
      <c r="J56" s="51"/>
      <c r="K56" s="400" t="s">
        <v>205</v>
      </c>
      <c r="L56" s="400"/>
      <c r="M56" s="400"/>
      <c r="N56" s="400"/>
      <c r="O56" s="401"/>
    </row>
    <row r="57" spans="2:15" ht="9.75" hidden="1" customHeight="1" thickBot="1" x14ac:dyDescent="0.3">
      <c r="B57" s="3"/>
      <c r="C57" s="59"/>
      <c r="D57" s="61"/>
      <c r="E57" s="4"/>
      <c r="F57" s="4"/>
      <c r="G57" s="4"/>
      <c r="H57" s="21"/>
      <c r="I57" s="80"/>
      <c r="J57" s="8"/>
      <c r="K57" s="402"/>
      <c r="L57" s="403"/>
      <c r="M57" s="403"/>
      <c r="N57" s="403"/>
      <c r="O57" s="404"/>
    </row>
    <row r="58" spans="2:15" hidden="1" x14ac:dyDescent="0.25">
      <c r="B58" s="405" t="s">
        <v>25</v>
      </c>
      <c r="C58" s="408" t="s">
        <v>26</v>
      </c>
      <c r="D58" s="430">
        <v>0.2</v>
      </c>
      <c r="E58" s="431">
        <v>288</v>
      </c>
      <c r="F58" s="431">
        <v>101</v>
      </c>
      <c r="G58" s="431">
        <v>120</v>
      </c>
      <c r="H58" s="432" t="s">
        <v>27</v>
      </c>
      <c r="I58" s="77" t="s">
        <v>192</v>
      </c>
      <c r="J58" s="17"/>
      <c r="K58" s="428" t="s">
        <v>13</v>
      </c>
      <c r="L58" s="428"/>
      <c r="M58" s="428"/>
      <c r="N58" s="428"/>
      <c r="O58" s="429"/>
    </row>
    <row r="59" spans="2:15" hidden="1" x14ac:dyDescent="0.25">
      <c r="B59" s="406"/>
      <c r="C59" s="409"/>
      <c r="D59" s="416"/>
      <c r="E59" s="418"/>
      <c r="F59" s="418"/>
      <c r="G59" s="418"/>
      <c r="H59" s="420"/>
      <c r="I59" s="78" t="s">
        <v>195</v>
      </c>
      <c r="J59" s="18"/>
      <c r="K59" s="400" t="s">
        <v>14</v>
      </c>
      <c r="L59" s="400"/>
      <c r="M59" s="400"/>
      <c r="N59" s="400"/>
      <c r="O59" s="401"/>
    </row>
    <row r="60" spans="2:15" hidden="1" x14ac:dyDescent="0.25">
      <c r="B60" s="406"/>
      <c r="C60" s="414" t="s">
        <v>28</v>
      </c>
      <c r="D60" s="415">
        <v>0.17</v>
      </c>
      <c r="E60" s="417">
        <v>245</v>
      </c>
      <c r="F60" s="417">
        <v>85</v>
      </c>
      <c r="G60" s="417">
        <v>240</v>
      </c>
      <c r="H60" s="419" t="s">
        <v>27</v>
      </c>
      <c r="I60" s="78" t="s">
        <v>197</v>
      </c>
      <c r="J60" s="18"/>
      <c r="K60" s="400" t="s">
        <v>13</v>
      </c>
      <c r="L60" s="400"/>
      <c r="M60" s="400"/>
      <c r="N60" s="400"/>
      <c r="O60" s="401"/>
    </row>
    <row r="61" spans="2:15" hidden="1" x14ac:dyDescent="0.25">
      <c r="B61" s="406"/>
      <c r="C61" s="409"/>
      <c r="D61" s="416"/>
      <c r="E61" s="418"/>
      <c r="F61" s="418"/>
      <c r="G61" s="418"/>
      <c r="H61" s="420"/>
      <c r="I61" s="78" t="s">
        <v>201</v>
      </c>
      <c r="J61" s="18"/>
      <c r="K61" s="400" t="s">
        <v>14</v>
      </c>
      <c r="L61" s="400"/>
      <c r="M61" s="400"/>
      <c r="N61" s="400"/>
      <c r="O61" s="401"/>
    </row>
    <row r="62" spans="2:15" hidden="1" x14ac:dyDescent="0.25">
      <c r="B62" s="406"/>
      <c r="C62" s="73" t="s">
        <v>29</v>
      </c>
      <c r="D62" s="148">
        <v>0.7</v>
      </c>
      <c r="E62" s="147">
        <v>1008</v>
      </c>
      <c r="F62" s="147">
        <v>354</v>
      </c>
      <c r="G62" s="147">
        <v>120</v>
      </c>
      <c r="H62" s="15" t="s">
        <v>27</v>
      </c>
      <c r="I62" s="78" t="s">
        <v>196</v>
      </c>
      <c r="J62" s="18"/>
      <c r="K62" s="400"/>
      <c r="L62" s="400"/>
      <c r="M62" s="400"/>
      <c r="N62" s="400"/>
      <c r="O62" s="401"/>
    </row>
    <row r="63" spans="2:15" ht="15.75" hidden="1" thickBot="1" x14ac:dyDescent="0.3">
      <c r="B63" s="407"/>
      <c r="C63" s="74" t="s">
        <v>30</v>
      </c>
      <c r="D63" s="149">
        <v>0.57999999999999996</v>
      </c>
      <c r="E63" s="150">
        <v>836</v>
      </c>
      <c r="F63" s="150">
        <v>294</v>
      </c>
      <c r="G63" s="150">
        <v>240</v>
      </c>
      <c r="H63" s="76" t="s">
        <v>27</v>
      </c>
      <c r="I63" s="79" t="s">
        <v>198</v>
      </c>
      <c r="J63" s="18"/>
      <c r="K63" s="400"/>
      <c r="L63" s="400"/>
      <c r="M63" s="400"/>
      <c r="N63" s="400"/>
      <c r="O63" s="401"/>
    </row>
    <row r="64" spans="2:15" ht="9.75" hidden="1" customHeight="1" thickBot="1" x14ac:dyDescent="0.3">
      <c r="B64" s="12"/>
      <c r="C64" s="58"/>
      <c r="D64" s="62"/>
      <c r="E64" s="13"/>
      <c r="F64" s="13"/>
      <c r="G64" s="13"/>
      <c r="H64" s="22"/>
      <c r="I64" s="82"/>
      <c r="J64" s="8"/>
      <c r="K64" s="402"/>
      <c r="L64" s="403"/>
      <c r="M64" s="403"/>
      <c r="N64" s="403"/>
      <c r="O64" s="404"/>
    </row>
    <row r="65" spans="2:15" hidden="1" x14ac:dyDescent="0.25">
      <c r="B65" s="405" t="s">
        <v>31</v>
      </c>
      <c r="C65" s="408" t="s">
        <v>41</v>
      </c>
      <c r="D65" s="410">
        <v>0.5</v>
      </c>
      <c r="E65" s="412">
        <v>750</v>
      </c>
      <c r="F65" s="412">
        <v>253</v>
      </c>
      <c r="G65" s="146">
        <v>120</v>
      </c>
      <c r="H65" s="16" t="s">
        <v>36</v>
      </c>
      <c r="I65" s="77" t="s">
        <v>194</v>
      </c>
      <c r="J65" s="17"/>
      <c r="K65" s="427"/>
      <c r="L65" s="428"/>
      <c r="M65" s="428"/>
      <c r="N65" s="428"/>
      <c r="O65" s="429"/>
    </row>
    <row r="66" spans="2:15" hidden="1" x14ac:dyDescent="0.25">
      <c r="B66" s="406"/>
      <c r="C66" s="409"/>
      <c r="D66" s="411"/>
      <c r="E66" s="413"/>
      <c r="F66" s="413"/>
      <c r="G66" s="147">
        <v>240</v>
      </c>
      <c r="H66" s="15" t="s">
        <v>36</v>
      </c>
      <c r="I66" s="78" t="s">
        <v>206</v>
      </c>
      <c r="J66" s="18"/>
      <c r="K66" s="399"/>
      <c r="L66" s="400"/>
      <c r="M66" s="400"/>
      <c r="N66" s="400"/>
      <c r="O66" s="401"/>
    </row>
    <row r="67" spans="2:15" hidden="1" x14ac:dyDescent="0.25">
      <c r="B67" s="406"/>
      <c r="C67" s="414" t="s">
        <v>42</v>
      </c>
      <c r="D67" s="411">
        <v>1.4</v>
      </c>
      <c r="E67" s="413">
        <v>2016</v>
      </c>
      <c r="F67" s="413">
        <v>706</v>
      </c>
      <c r="G67" s="147">
        <v>120</v>
      </c>
      <c r="H67" s="15" t="s">
        <v>35</v>
      </c>
      <c r="I67" s="78" t="s">
        <v>207</v>
      </c>
      <c r="J67" s="18"/>
      <c r="K67" s="399"/>
      <c r="L67" s="400"/>
      <c r="M67" s="400"/>
      <c r="N67" s="400"/>
      <c r="O67" s="401"/>
    </row>
    <row r="68" spans="2:15" hidden="1" x14ac:dyDescent="0.25">
      <c r="B68" s="406"/>
      <c r="C68" s="409"/>
      <c r="D68" s="411"/>
      <c r="E68" s="413"/>
      <c r="F68" s="413"/>
      <c r="G68" s="147">
        <v>240</v>
      </c>
      <c r="H68" s="15" t="s">
        <v>35</v>
      </c>
      <c r="I68" s="78" t="s">
        <v>207</v>
      </c>
      <c r="J68" s="18"/>
      <c r="K68" s="399"/>
      <c r="L68" s="400"/>
      <c r="M68" s="400"/>
      <c r="N68" s="400"/>
      <c r="O68" s="401"/>
    </row>
    <row r="69" spans="2:15" hidden="1" x14ac:dyDescent="0.25">
      <c r="B69" s="406"/>
      <c r="C69" s="414" t="s">
        <v>43</v>
      </c>
      <c r="D69" s="411">
        <v>1.4</v>
      </c>
      <c r="E69" s="413">
        <v>2016</v>
      </c>
      <c r="F69" s="413">
        <v>706</v>
      </c>
      <c r="G69" s="147">
        <v>120</v>
      </c>
      <c r="H69" s="15" t="s">
        <v>37</v>
      </c>
      <c r="I69" s="78" t="s">
        <v>208</v>
      </c>
      <c r="J69" s="18"/>
      <c r="K69" s="399"/>
      <c r="L69" s="400"/>
      <c r="M69" s="400"/>
      <c r="N69" s="400"/>
      <c r="O69" s="401"/>
    </row>
    <row r="70" spans="2:15" ht="15.75" hidden="1" thickBot="1" x14ac:dyDescent="0.3">
      <c r="B70" s="407"/>
      <c r="C70" s="421"/>
      <c r="D70" s="422"/>
      <c r="E70" s="423"/>
      <c r="F70" s="423"/>
      <c r="G70" s="150">
        <v>240</v>
      </c>
      <c r="H70" s="76" t="s">
        <v>37</v>
      </c>
      <c r="I70" s="79" t="s">
        <v>200</v>
      </c>
      <c r="J70" s="20"/>
      <c r="K70" s="424"/>
      <c r="L70" s="425"/>
      <c r="M70" s="425"/>
      <c r="N70" s="425"/>
      <c r="O70" s="426"/>
    </row>
    <row r="71" spans="2:15" hidden="1" x14ac:dyDescent="0.25">
      <c r="B71" s="64" t="s">
        <v>32</v>
      </c>
      <c r="C71" s="65"/>
      <c r="D71" s="65"/>
      <c r="E71" s="65"/>
      <c r="F71" s="65"/>
      <c r="G71" s="65"/>
      <c r="H71" s="65"/>
      <c r="I71" s="65"/>
      <c r="J71" s="66"/>
      <c r="K71" s="66"/>
      <c r="L71" s="66"/>
      <c r="M71" s="66"/>
      <c r="N71" s="66"/>
      <c r="O71" s="67"/>
    </row>
    <row r="72" spans="2:15" ht="15.75" hidden="1" thickBot="1" x14ac:dyDescent="0.3">
      <c r="B72" s="68" t="s">
        <v>44</v>
      </c>
      <c r="C72" s="69"/>
      <c r="D72" s="69"/>
      <c r="E72" s="69"/>
      <c r="F72" s="69"/>
      <c r="G72" s="69"/>
      <c r="H72" s="69"/>
      <c r="I72" s="69"/>
      <c r="J72" s="70"/>
      <c r="K72" s="70"/>
      <c r="L72" s="70"/>
      <c r="M72" s="70"/>
      <c r="N72" s="70"/>
      <c r="O72" s="71"/>
    </row>
    <row r="74" spans="2:15" x14ac:dyDescent="0.25">
      <c r="E74" s="1"/>
      <c r="F74" s="1"/>
      <c r="G74" s="1"/>
      <c r="H74" s="1"/>
      <c r="I74" s="1"/>
    </row>
    <row r="75" spans="2:15" x14ac:dyDescent="0.25">
      <c r="E75" s="1"/>
      <c r="F75" s="1"/>
      <c r="G75" s="1"/>
      <c r="H75" s="1"/>
      <c r="I75" s="1"/>
    </row>
    <row r="76" spans="2:15" x14ac:dyDescent="0.25">
      <c r="E76" s="1"/>
      <c r="F76" s="1"/>
      <c r="G76" s="1"/>
      <c r="H76" s="1"/>
      <c r="I76" s="1"/>
    </row>
    <row r="77" spans="2:15" x14ac:dyDescent="0.25">
      <c r="E77" s="1"/>
      <c r="F77" s="1"/>
      <c r="G77" s="1"/>
      <c r="H77" s="1"/>
      <c r="I77" s="1"/>
    </row>
    <row r="78" spans="2:15" x14ac:dyDescent="0.25">
      <c r="E78" s="1"/>
      <c r="F78" s="1"/>
      <c r="G78" s="1"/>
      <c r="H78" s="1"/>
      <c r="I78" s="1"/>
    </row>
    <row r="79" spans="2:15" x14ac:dyDescent="0.25">
      <c r="E79" s="1"/>
      <c r="F79" s="1"/>
      <c r="G79" s="1"/>
      <c r="H79" s="1"/>
      <c r="I79" s="1"/>
    </row>
    <row r="80" spans="2:15" x14ac:dyDescent="0.25">
      <c r="E80" s="1"/>
      <c r="F80" s="1"/>
      <c r="G80" s="1"/>
      <c r="H80" s="1"/>
      <c r="I80" s="1"/>
    </row>
    <row r="81" spans="5:9" x14ac:dyDescent="0.25">
      <c r="E81" s="1"/>
      <c r="F81" s="1"/>
      <c r="G81" s="1"/>
      <c r="H81" s="1"/>
      <c r="I81" s="1"/>
    </row>
    <row r="82" spans="5:9" x14ac:dyDescent="0.25">
      <c r="E82" s="1"/>
      <c r="F82" s="1"/>
      <c r="G82" s="1"/>
      <c r="H82" s="1"/>
      <c r="I82" s="1"/>
    </row>
    <row r="83" spans="5:9" x14ac:dyDescent="0.25">
      <c r="E83" s="1"/>
      <c r="F83" s="1"/>
      <c r="G83" s="1"/>
      <c r="H83" s="1"/>
      <c r="I83" s="1"/>
    </row>
  </sheetData>
  <mergeCells count="104">
    <mergeCell ref="C2:D2"/>
    <mergeCell ref="K2:O2"/>
    <mergeCell ref="C3:D3"/>
    <mergeCell ref="K3:O7"/>
    <mergeCell ref="B4:B9"/>
    <mergeCell ref="C4:D4"/>
    <mergeCell ref="C5:D5"/>
    <mergeCell ref="C6:D6"/>
    <mergeCell ref="E9:I9"/>
    <mergeCell ref="C7:D7"/>
    <mergeCell ref="K33:N33"/>
    <mergeCell ref="K34:N34"/>
    <mergeCell ref="K35:N35"/>
    <mergeCell ref="K38:O38"/>
    <mergeCell ref="B39:B43"/>
    <mergeCell ref="C39:C40"/>
    <mergeCell ref="D39:D40"/>
    <mergeCell ref="E39:E40"/>
    <mergeCell ref="F39:F40"/>
    <mergeCell ref="G39:G40"/>
    <mergeCell ref="H39:H40"/>
    <mergeCell ref="K39:O39"/>
    <mergeCell ref="K40:O40"/>
    <mergeCell ref="C41:C42"/>
    <mergeCell ref="D41:D42"/>
    <mergeCell ref="E41:E42"/>
    <mergeCell ref="F41:F42"/>
    <mergeCell ref="G41:G42"/>
    <mergeCell ref="H41:H42"/>
    <mergeCell ref="K41:O41"/>
    <mergeCell ref="K42:O42"/>
    <mergeCell ref="K43:O43"/>
    <mergeCell ref="K44:O44"/>
    <mergeCell ref="B45:B56"/>
    <mergeCell ref="D45:D46"/>
    <mergeCell ref="E45:E46"/>
    <mergeCell ref="F45:F46"/>
    <mergeCell ref="G45:G46"/>
    <mergeCell ref="K45:O45"/>
    <mergeCell ref="K46:O46"/>
    <mergeCell ref="C49:C50"/>
    <mergeCell ref="K49:O49"/>
    <mergeCell ref="K50:O50"/>
    <mergeCell ref="C51:C52"/>
    <mergeCell ref="K51:O51"/>
    <mergeCell ref="K52:O52"/>
    <mergeCell ref="D47:D48"/>
    <mergeCell ref="E47:E48"/>
    <mergeCell ref="F47:F48"/>
    <mergeCell ref="G47:G48"/>
    <mergeCell ref="K47:O47"/>
    <mergeCell ref="K48:O48"/>
    <mergeCell ref="C55:C56"/>
    <mergeCell ref="D55:D56"/>
    <mergeCell ref="E55:E56"/>
    <mergeCell ref="F55:F56"/>
    <mergeCell ref="K58:O58"/>
    <mergeCell ref="K59:O59"/>
    <mergeCell ref="K60:O60"/>
    <mergeCell ref="K61:O61"/>
    <mergeCell ref="K62:O62"/>
    <mergeCell ref="K63:O63"/>
    <mergeCell ref="K55:O55"/>
    <mergeCell ref="K56:O56"/>
    <mergeCell ref="C53:C54"/>
    <mergeCell ref="D53:D54"/>
    <mergeCell ref="E53:E54"/>
    <mergeCell ref="F53:F54"/>
    <mergeCell ref="K53:O53"/>
    <mergeCell ref="K54:O54"/>
    <mergeCell ref="K57:O57"/>
    <mergeCell ref="E67:E68"/>
    <mergeCell ref="F67:F68"/>
    <mergeCell ref="B58:B63"/>
    <mergeCell ref="C58:C59"/>
    <mergeCell ref="D58:D59"/>
    <mergeCell ref="E58:E59"/>
    <mergeCell ref="F58:F59"/>
    <mergeCell ref="G58:G59"/>
    <mergeCell ref="H58:H59"/>
    <mergeCell ref="K67:O67"/>
    <mergeCell ref="K68:O68"/>
    <mergeCell ref="K64:O64"/>
    <mergeCell ref="B65:B70"/>
    <mergeCell ref="C65:C66"/>
    <mergeCell ref="D65:D66"/>
    <mergeCell ref="E65:E66"/>
    <mergeCell ref="F65:F66"/>
    <mergeCell ref="C60:C61"/>
    <mergeCell ref="D60:D61"/>
    <mergeCell ref="E60:E61"/>
    <mergeCell ref="F60:F61"/>
    <mergeCell ref="G60:G61"/>
    <mergeCell ref="H60:H61"/>
    <mergeCell ref="C69:C70"/>
    <mergeCell ref="D69:D70"/>
    <mergeCell ref="E69:E70"/>
    <mergeCell ref="F69:F70"/>
    <mergeCell ref="K69:O69"/>
    <mergeCell ref="K70:O70"/>
    <mergeCell ref="K65:O65"/>
    <mergeCell ref="K66:O66"/>
    <mergeCell ref="C67:C68"/>
    <mergeCell ref="D67:D6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19E5-99B1-4A79-A44B-EC7ED06456B0}">
  <dimension ref="B1:O36"/>
  <sheetViews>
    <sheetView workbookViewId="0">
      <pane ySplit="2" topLeftCell="A3" activePane="bottomLeft" state="frozen"/>
      <selection pane="bottomLeft" activeCell="U24" sqref="U24"/>
    </sheetView>
  </sheetViews>
  <sheetFormatPr defaultRowHeight="15" x14ac:dyDescent="0.25"/>
  <cols>
    <col min="2" max="2" width="18.85546875" customWidth="1"/>
    <col min="8" max="8" width="11.28515625" customWidth="1"/>
    <col min="9" max="9" width="12.5703125" customWidth="1"/>
    <col min="10" max="10" width="2.7109375" customWidth="1"/>
  </cols>
  <sheetData>
    <row r="1" spans="2:15" ht="15.75" thickBot="1" x14ac:dyDescent="0.3">
      <c r="B1" s="5" t="s">
        <v>82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2:15" ht="45.75" customHeight="1" thickBot="1" x14ac:dyDescent="0.3">
      <c r="B2" s="2" t="s">
        <v>33</v>
      </c>
      <c r="C2" s="47" t="s">
        <v>34</v>
      </c>
      <c r="D2" s="2" t="s">
        <v>39</v>
      </c>
      <c r="E2" s="2" t="s">
        <v>49</v>
      </c>
      <c r="F2" s="2" t="s">
        <v>83</v>
      </c>
      <c r="G2" s="2" t="s">
        <v>38</v>
      </c>
      <c r="H2" s="2" t="s">
        <v>47</v>
      </c>
      <c r="I2" s="23" t="s">
        <v>40</v>
      </c>
      <c r="J2" s="11"/>
      <c r="K2" s="438" t="s">
        <v>11</v>
      </c>
      <c r="L2" s="439"/>
      <c r="M2" s="439"/>
      <c r="N2" s="439"/>
      <c r="O2" s="440"/>
    </row>
    <row r="3" spans="2:15" ht="15" customHeight="1" x14ac:dyDescent="0.25">
      <c r="B3" s="441" t="s">
        <v>46</v>
      </c>
      <c r="C3" s="408" t="s">
        <v>12</v>
      </c>
      <c r="D3" s="430">
        <v>0.12</v>
      </c>
      <c r="E3" s="431">
        <v>173</v>
      </c>
      <c r="F3" s="431">
        <v>37</v>
      </c>
      <c r="G3" s="431">
        <v>120</v>
      </c>
      <c r="H3" s="432" t="s">
        <v>16</v>
      </c>
      <c r="I3" s="77" t="s">
        <v>192</v>
      </c>
      <c r="J3" s="17"/>
      <c r="K3" s="428" t="s">
        <v>13</v>
      </c>
      <c r="L3" s="428"/>
      <c r="M3" s="428"/>
      <c r="N3" s="428"/>
      <c r="O3" s="429"/>
    </row>
    <row r="4" spans="2:15" x14ac:dyDescent="0.25">
      <c r="B4" s="442"/>
      <c r="C4" s="409"/>
      <c r="D4" s="416"/>
      <c r="E4" s="418"/>
      <c r="F4" s="418"/>
      <c r="G4" s="418"/>
      <c r="H4" s="420"/>
      <c r="I4" s="78" t="s">
        <v>193</v>
      </c>
      <c r="J4" s="18"/>
      <c r="K4" s="400" t="s">
        <v>14</v>
      </c>
      <c r="L4" s="400"/>
      <c r="M4" s="400"/>
      <c r="N4" s="400"/>
      <c r="O4" s="401"/>
    </row>
    <row r="5" spans="2:15" ht="15" customHeight="1" x14ac:dyDescent="0.25">
      <c r="B5" s="442"/>
      <c r="C5" s="444" t="s">
        <v>15</v>
      </c>
      <c r="D5" s="415">
        <v>0.5</v>
      </c>
      <c r="E5" s="417">
        <v>720</v>
      </c>
      <c r="F5" s="417">
        <v>127</v>
      </c>
      <c r="G5" s="417">
        <v>120</v>
      </c>
      <c r="H5" s="419" t="s">
        <v>16</v>
      </c>
      <c r="I5" s="78" t="s">
        <v>193</v>
      </c>
      <c r="J5" s="18"/>
      <c r="K5" s="400" t="s">
        <v>17</v>
      </c>
      <c r="L5" s="400"/>
      <c r="M5" s="400"/>
      <c r="N5" s="400"/>
      <c r="O5" s="401"/>
    </row>
    <row r="6" spans="2:15" x14ac:dyDescent="0.25">
      <c r="B6" s="442"/>
      <c r="C6" s="409"/>
      <c r="D6" s="416"/>
      <c r="E6" s="418"/>
      <c r="F6" s="418"/>
      <c r="G6" s="418"/>
      <c r="H6" s="420"/>
      <c r="I6" s="78" t="s">
        <v>194</v>
      </c>
      <c r="J6" s="18"/>
      <c r="K6" s="400" t="s">
        <v>18</v>
      </c>
      <c r="L6" s="400"/>
      <c r="M6" s="400"/>
      <c r="N6" s="400"/>
      <c r="O6" s="401"/>
    </row>
    <row r="7" spans="2:15" ht="15.75" thickBot="1" x14ac:dyDescent="0.3">
      <c r="B7" s="443"/>
      <c r="C7" s="74" t="s">
        <v>19</v>
      </c>
      <c r="D7" s="75">
        <v>0.09</v>
      </c>
      <c r="E7" s="49">
        <v>129</v>
      </c>
      <c r="F7" s="49">
        <v>30</v>
      </c>
      <c r="G7" s="49">
        <v>120</v>
      </c>
      <c r="H7" s="76" t="s">
        <v>20</v>
      </c>
      <c r="I7" s="79" t="s">
        <v>192</v>
      </c>
      <c r="J7" s="19"/>
      <c r="K7" s="445"/>
      <c r="L7" s="445"/>
      <c r="M7" s="445"/>
      <c r="N7" s="445"/>
      <c r="O7" s="446"/>
    </row>
    <row r="8" spans="2:15" ht="9.75" customHeight="1" thickBot="1" x14ac:dyDescent="0.3">
      <c r="B8" s="3"/>
      <c r="C8" s="59"/>
      <c r="D8" s="61"/>
      <c r="E8" s="4"/>
      <c r="F8" s="4"/>
      <c r="G8" s="4"/>
      <c r="H8" s="21"/>
      <c r="I8" s="80"/>
      <c r="J8" s="9"/>
      <c r="K8" s="402"/>
      <c r="L8" s="403"/>
      <c r="M8" s="403"/>
      <c r="N8" s="403"/>
      <c r="O8" s="404"/>
    </row>
    <row r="9" spans="2:15" x14ac:dyDescent="0.25">
      <c r="B9" s="405" t="s">
        <v>21</v>
      </c>
      <c r="C9" s="72" t="s">
        <v>53</v>
      </c>
      <c r="D9" s="430">
        <v>0.5</v>
      </c>
      <c r="E9" s="431">
        <v>750</v>
      </c>
      <c r="F9" s="431">
        <v>193</v>
      </c>
      <c r="G9" s="431">
        <v>120</v>
      </c>
      <c r="H9" s="16" t="s">
        <v>22</v>
      </c>
      <c r="I9" s="77" t="s">
        <v>195</v>
      </c>
      <c r="J9" s="67"/>
      <c r="K9" s="428"/>
      <c r="L9" s="428"/>
      <c r="M9" s="428"/>
      <c r="N9" s="428"/>
      <c r="O9" s="429"/>
    </row>
    <row r="10" spans="2:15" x14ac:dyDescent="0.25">
      <c r="B10" s="406"/>
      <c r="C10" s="73" t="s">
        <v>52</v>
      </c>
      <c r="D10" s="416"/>
      <c r="E10" s="418"/>
      <c r="F10" s="418"/>
      <c r="G10" s="418"/>
      <c r="H10" s="15" t="s">
        <v>23</v>
      </c>
      <c r="I10" s="78" t="s">
        <v>193</v>
      </c>
      <c r="J10" s="51"/>
      <c r="K10" s="400"/>
      <c r="L10" s="400"/>
      <c r="M10" s="400"/>
      <c r="N10" s="400"/>
      <c r="O10" s="401"/>
    </row>
    <row r="11" spans="2:15" x14ac:dyDescent="0.25">
      <c r="B11" s="406"/>
      <c r="C11" s="73" t="s">
        <v>51</v>
      </c>
      <c r="D11" s="415">
        <v>0.75</v>
      </c>
      <c r="E11" s="417">
        <v>1080</v>
      </c>
      <c r="F11" s="417">
        <v>282</v>
      </c>
      <c r="G11" s="417">
        <v>120</v>
      </c>
      <c r="H11" s="15" t="s">
        <v>22</v>
      </c>
      <c r="I11" s="78" t="s">
        <v>196</v>
      </c>
      <c r="J11" s="51"/>
      <c r="K11" s="400"/>
      <c r="L11" s="400"/>
      <c r="M11" s="400"/>
      <c r="N11" s="400"/>
      <c r="O11" s="401"/>
    </row>
    <row r="12" spans="2:15" x14ac:dyDescent="0.25">
      <c r="B12" s="406"/>
      <c r="C12" s="73" t="s">
        <v>50</v>
      </c>
      <c r="D12" s="416"/>
      <c r="E12" s="418"/>
      <c r="F12" s="418"/>
      <c r="G12" s="418"/>
      <c r="H12" s="14" t="s">
        <v>24</v>
      </c>
      <c r="I12" s="81" t="s">
        <v>194</v>
      </c>
      <c r="J12" s="51"/>
      <c r="K12" s="400"/>
      <c r="L12" s="400"/>
      <c r="M12" s="400"/>
      <c r="N12" s="400"/>
      <c r="O12" s="401"/>
    </row>
    <row r="13" spans="2:15" x14ac:dyDescent="0.25">
      <c r="B13" s="406"/>
      <c r="C13" s="414" t="s">
        <v>48</v>
      </c>
      <c r="D13" s="63">
        <v>0.14000000000000001</v>
      </c>
      <c r="E13" s="60">
        <v>300</v>
      </c>
      <c r="F13" s="48">
        <v>81</v>
      </c>
      <c r="G13" s="48">
        <v>120</v>
      </c>
      <c r="H13" s="15" t="s">
        <v>22</v>
      </c>
      <c r="I13" s="78" t="s">
        <v>192</v>
      </c>
      <c r="J13" s="51"/>
      <c r="K13" s="400"/>
      <c r="L13" s="400"/>
      <c r="M13" s="400"/>
      <c r="N13" s="400"/>
      <c r="O13" s="401"/>
    </row>
    <row r="14" spans="2:15" x14ac:dyDescent="0.25">
      <c r="B14" s="406"/>
      <c r="C14" s="409"/>
      <c r="D14" s="63">
        <v>0.11</v>
      </c>
      <c r="E14" s="48">
        <v>240</v>
      </c>
      <c r="F14" s="48" t="s">
        <v>81</v>
      </c>
      <c r="G14" s="48">
        <v>240</v>
      </c>
      <c r="H14" s="15" t="s">
        <v>22</v>
      </c>
      <c r="I14" s="78" t="s">
        <v>197</v>
      </c>
      <c r="J14" s="51"/>
      <c r="K14" s="400"/>
      <c r="L14" s="400"/>
      <c r="M14" s="400"/>
      <c r="N14" s="400"/>
      <c r="O14" s="401"/>
    </row>
    <row r="15" spans="2:15" x14ac:dyDescent="0.25">
      <c r="B15" s="406"/>
      <c r="C15" s="414" t="s">
        <v>45</v>
      </c>
      <c r="D15" s="63">
        <v>0.59</v>
      </c>
      <c r="E15" s="48">
        <v>1000</v>
      </c>
      <c r="F15" s="48">
        <v>209</v>
      </c>
      <c r="G15" s="48">
        <v>120</v>
      </c>
      <c r="H15" s="15" t="s">
        <v>22</v>
      </c>
      <c r="I15" s="78" t="s">
        <v>196</v>
      </c>
      <c r="J15" s="51"/>
      <c r="K15" s="400" t="s">
        <v>202</v>
      </c>
      <c r="L15" s="400"/>
      <c r="M15" s="400"/>
      <c r="N15" s="400"/>
      <c r="O15" s="401"/>
    </row>
    <row r="16" spans="2:15" x14ac:dyDescent="0.25">
      <c r="B16" s="406"/>
      <c r="C16" s="409"/>
      <c r="D16" s="63">
        <v>0.49</v>
      </c>
      <c r="E16" s="48">
        <v>825</v>
      </c>
      <c r="F16" s="48">
        <v>191</v>
      </c>
      <c r="G16" s="48">
        <v>240</v>
      </c>
      <c r="H16" s="15" t="s">
        <v>22</v>
      </c>
      <c r="I16" s="81" t="s">
        <v>198</v>
      </c>
      <c r="J16" s="51"/>
      <c r="K16" s="400" t="s">
        <v>203</v>
      </c>
      <c r="L16" s="400"/>
      <c r="M16" s="400"/>
      <c r="N16" s="400"/>
      <c r="O16" s="401"/>
    </row>
    <row r="17" spans="2:15" x14ac:dyDescent="0.25">
      <c r="B17" s="406"/>
      <c r="C17" s="414">
        <v>2400</v>
      </c>
      <c r="D17" s="415">
        <v>1.7</v>
      </c>
      <c r="E17" s="417">
        <v>3500</v>
      </c>
      <c r="F17" s="417">
        <v>716</v>
      </c>
      <c r="G17" s="48">
        <v>120</v>
      </c>
      <c r="H17" s="15" t="s">
        <v>22</v>
      </c>
      <c r="I17" s="81" t="s">
        <v>199</v>
      </c>
      <c r="J17" s="51"/>
      <c r="K17" s="400" t="s">
        <v>204</v>
      </c>
      <c r="L17" s="400"/>
      <c r="M17" s="400"/>
      <c r="N17" s="400"/>
      <c r="O17" s="401"/>
    </row>
    <row r="18" spans="2:15" x14ac:dyDescent="0.25">
      <c r="B18" s="406"/>
      <c r="C18" s="409"/>
      <c r="D18" s="416"/>
      <c r="E18" s="418"/>
      <c r="F18" s="418"/>
      <c r="G18" s="48">
        <v>240</v>
      </c>
      <c r="H18" s="15" t="s">
        <v>22</v>
      </c>
      <c r="I18" s="81" t="s">
        <v>200</v>
      </c>
      <c r="J18" s="51"/>
      <c r="K18" s="400" t="s">
        <v>205</v>
      </c>
      <c r="L18" s="400"/>
      <c r="M18" s="400"/>
      <c r="N18" s="400"/>
      <c r="O18" s="401"/>
    </row>
    <row r="19" spans="2:15" x14ac:dyDescent="0.25">
      <c r="B19" s="406"/>
      <c r="C19" s="414">
        <v>3200</v>
      </c>
      <c r="D19" s="415">
        <v>2.2000000000000002</v>
      </c>
      <c r="E19" s="417">
        <v>4100</v>
      </c>
      <c r="F19" s="417">
        <v>925</v>
      </c>
      <c r="G19" s="48">
        <v>120</v>
      </c>
      <c r="H19" s="15" t="s">
        <v>22</v>
      </c>
      <c r="I19" s="81" t="s">
        <v>199</v>
      </c>
      <c r="J19" s="51"/>
      <c r="K19" s="400" t="s">
        <v>204</v>
      </c>
      <c r="L19" s="400"/>
      <c r="M19" s="400"/>
      <c r="N19" s="400"/>
      <c r="O19" s="401"/>
    </row>
    <row r="20" spans="2:15" ht="15.75" thickBot="1" x14ac:dyDescent="0.3">
      <c r="B20" s="407"/>
      <c r="C20" s="421"/>
      <c r="D20" s="433"/>
      <c r="E20" s="434"/>
      <c r="F20" s="434"/>
      <c r="G20" s="49">
        <v>240</v>
      </c>
      <c r="H20" s="76" t="s">
        <v>22</v>
      </c>
      <c r="I20" s="79" t="s">
        <v>200</v>
      </c>
      <c r="J20" s="51"/>
      <c r="K20" s="400" t="s">
        <v>205</v>
      </c>
      <c r="L20" s="400"/>
      <c r="M20" s="400"/>
      <c r="N20" s="400"/>
      <c r="O20" s="401"/>
    </row>
    <row r="21" spans="2:15" ht="9.75" customHeight="1" thickBot="1" x14ac:dyDescent="0.3">
      <c r="B21" s="3"/>
      <c r="C21" s="59"/>
      <c r="D21" s="61"/>
      <c r="E21" s="4"/>
      <c r="F21" s="4"/>
      <c r="G21" s="4"/>
      <c r="H21" s="21"/>
      <c r="I21" s="80"/>
      <c r="J21" s="8"/>
      <c r="K21" s="402"/>
      <c r="L21" s="403"/>
      <c r="M21" s="403"/>
      <c r="N21" s="403"/>
      <c r="O21" s="404"/>
    </row>
    <row r="22" spans="2:15" x14ac:dyDescent="0.25">
      <c r="B22" s="405" t="s">
        <v>25</v>
      </c>
      <c r="C22" s="408" t="s">
        <v>26</v>
      </c>
      <c r="D22" s="430">
        <v>0.2</v>
      </c>
      <c r="E22" s="431">
        <v>288</v>
      </c>
      <c r="F22" s="431">
        <v>101</v>
      </c>
      <c r="G22" s="431">
        <v>120</v>
      </c>
      <c r="H22" s="432" t="s">
        <v>27</v>
      </c>
      <c r="I22" s="77" t="s">
        <v>192</v>
      </c>
      <c r="J22" s="17"/>
      <c r="K22" s="428" t="s">
        <v>13</v>
      </c>
      <c r="L22" s="428"/>
      <c r="M22" s="428"/>
      <c r="N22" s="428"/>
      <c r="O22" s="429"/>
    </row>
    <row r="23" spans="2:15" x14ac:dyDescent="0.25">
      <c r="B23" s="406"/>
      <c r="C23" s="409"/>
      <c r="D23" s="416"/>
      <c r="E23" s="418"/>
      <c r="F23" s="418"/>
      <c r="G23" s="418"/>
      <c r="H23" s="420"/>
      <c r="I23" s="78" t="s">
        <v>195</v>
      </c>
      <c r="J23" s="18"/>
      <c r="K23" s="400" t="s">
        <v>14</v>
      </c>
      <c r="L23" s="400"/>
      <c r="M23" s="400"/>
      <c r="N23" s="400"/>
      <c r="O23" s="401"/>
    </row>
    <row r="24" spans="2:15" x14ac:dyDescent="0.25">
      <c r="B24" s="406"/>
      <c r="C24" s="414" t="s">
        <v>28</v>
      </c>
      <c r="D24" s="415">
        <v>0.17</v>
      </c>
      <c r="E24" s="417">
        <v>245</v>
      </c>
      <c r="F24" s="417">
        <v>85</v>
      </c>
      <c r="G24" s="417">
        <v>240</v>
      </c>
      <c r="H24" s="419" t="s">
        <v>27</v>
      </c>
      <c r="I24" s="78" t="s">
        <v>197</v>
      </c>
      <c r="J24" s="18"/>
      <c r="K24" s="400" t="s">
        <v>13</v>
      </c>
      <c r="L24" s="400"/>
      <c r="M24" s="400"/>
      <c r="N24" s="400"/>
      <c r="O24" s="401"/>
    </row>
    <row r="25" spans="2:15" x14ac:dyDescent="0.25">
      <c r="B25" s="406"/>
      <c r="C25" s="409"/>
      <c r="D25" s="416"/>
      <c r="E25" s="418"/>
      <c r="F25" s="418"/>
      <c r="G25" s="418"/>
      <c r="H25" s="420"/>
      <c r="I25" s="78" t="s">
        <v>201</v>
      </c>
      <c r="J25" s="18"/>
      <c r="K25" s="400" t="s">
        <v>14</v>
      </c>
      <c r="L25" s="400"/>
      <c r="M25" s="400"/>
      <c r="N25" s="400"/>
      <c r="O25" s="401"/>
    </row>
    <row r="26" spans="2:15" x14ac:dyDescent="0.25">
      <c r="B26" s="406"/>
      <c r="C26" s="73" t="s">
        <v>29</v>
      </c>
      <c r="D26" s="63">
        <v>0.7</v>
      </c>
      <c r="E26" s="48">
        <v>1008</v>
      </c>
      <c r="F26" s="48">
        <v>354</v>
      </c>
      <c r="G26" s="48">
        <v>120</v>
      </c>
      <c r="H26" s="15" t="s">
        <v>27</v>
      </c>
      <c r="I26" s="78" t="s">
        <v>196</v>
      </c>
      <c r="J26" s="18"/>
      <c r="K26" s="400"/>
      <c r="L26" s="400"/>
      <c r="M26" s="400"/>
      <c r="N26" s="400"/>
      <c r="O26" s="401"/>
    </row>
    <row r="27" spans="2:15" ht="15.75" thickBot="1" x14ac:dyDescent="0.3">
      <c r="B27" s="407"/>
      <c r="C27" s="74" t="s">
        <v>30</v>
      </c>
      <c r="D27" s="75">
        <v>0.57999999999999996</v>
      </c>
      <c r="E27" s="49">
        <v>836</v>
      </c>
      <c r="F27" s="49">
        <v>294</v>
      </c>
      <c r="G27" s="49">
        <v>240</v>
      </c>
      <c r="H27" s="76" t="s">
        <v>27</v>
      </c>
      <c r="I27" s="79" t="s">
        <v>198</v>
      </c>
      <c r="J27" s="18"/>
      <c r="K27" s="400"/>
      <c r="L27" s="400"/>
      <c r="M27" s="400"/>
      <c r="N27" s="400"/>
      <c r="O27" s="401"/>
    </row>
    <row r="28" spans="2:15" ht="9.75" customHeight="1" thickBot="1" x14ac:dyDescent="0.3">
      <c r="B28" s="12"/>
      <c r="C28" s="58"/>
      <c r="D28" s="62"/>
      <c r="E28" s="13"/>
      <c r="F28" s="13"/>
      <c r="G28" s="13"/>
      <c r="H28" s="22"/>
      <c r="I28" s="82"/>
      <c r="J28" s="8"/>
      <c r="K28" s="402"/>
      <c r="L28" s="403"/>
      <c r="M28" s="403"/>
      <c r="N28" s="403"/>
      <c r="O28" s="404"/>
    </row>
    <row r="29" spans="2:15" x14ac:dyDescent="0.25">
      <c r="B29" s="405" t="s">
        <v>31</v>
      </c>
      <c r="C29" s="408" t="s">
        <v>41</v>
      </c>
      <c r="D29" s="410">
        <v>0.5</v>
      </c>
      <c r="E29" s="412">
        <v>750</v>
      </c>
      <c r="F29" s="412">
        <v>253</v>
      </c>
      <c r="G29" s="50">
        <v>120</v>
      </c>
      <c r="H29" s="16" t="s">
        <v>36</v>
      </c>
      <c r="I29" s="77" t="s">
        <v>194</v>
      </c>
      <c r="J29" s="17"/>
      <c r="K29" s="427"/>
      <c r="L29" s="428"/>
      <c r="M29" s="428"/>
      <c r="N29" s="428"/>
      <c r="O29" s="429"/>
    </row>
    <row r="30" spans="2:15" x14ac:dyDescent="0.25">
      <c r="B30" s="406"/>
      <c r="C30" s="409"/>
      <c r="D30" s="411"/>
      <c r="E30" s="413"/>
      <c r="F30" s="413"/>
      <c r="G30" s="48">
        <v>240</v>
      </c>
      <c r="H30" s="15" t="s">
        <v>36</v>
      </c>
      <c r="I30" s="78" t="s">
        <v>206</v>
      </c>
      <c r="J30" s="18"/>
      <c r="K30" s="399"/>
      <c r="L30" s="400"/>
      <c r="M30" s="400"/>
      <c r="N30" s="400"/>
      <c r="O30" s="401"/>
    </row>
    <row r="31" spans="2:15" x14ac:dyDescent="0.25">
      <c r="B31" s="406"/>
      <c r="C31" s="414" t="s">
        <v>42</v>
      </c>
      <c r="D31" s="411">
        <v>1.4</v>
      </c>
      <c r="E31" s="413">
        <v>2016</v>
      </c>
      <c r="F31" s="413">
        <v>706</v>
      </c>
      <c r="G31" s="48">
        <v>120</v>
      </c>
      <c r="H31" s="15" t="s">
        <v>35</v>
      </c>
      <c r="I31" s="78" t="s">
        <v>199</v>
      </c>
      <c r="J31" s="18"/>
      <c r="K31" s="399" t="s">
        <v>204</v>
      </c>
      <c r="L31" s="400"/>
      <c r="M31" s="400"/>
      <c r="N31" s="400"/>
      <c r="O31" s="401"/>
    </row>
    <row r="32" spans="2:15" x14ac:dyDescent="0.25">
      <c r="B32" s="406"/>
      <c r="C32" s="409"/>
      <c r="D32" s="411"/>
      <c r="E32" s="413"/>
      <c r="F32" s="413"/>
      <c r="G32" s="48">
        <v>240</v>
      </c>
      <c r="H32" s="15" t="s">
        <v>35</v>
      </c>
      <c r="I32" s="78" t="s">
        <v>200</v>
      </c>
      <c r="J32" s="18"/>
      <c r="K32" s="399" t="s">
        <v>205</v>
      </c>
      <c r="L32" s="400"/>
      <c r="M32" s="400"/>
      <c r="N32" s="400"/>
      <c r="O32" s="401"/>
    </row>
    <row r="33" spans="2:15" x14ac:dyDescent="0.25">
      <c r="B33" s="406"/>
      <c r="C33" s="414" t="s">
        <v>43</v>
      </c>
      <c r="D33" s="411">
        <v>1.4</v>
      </c>
      <c r="E33" s="413">
        <v>2016</v>
      </c>
      <c r="F33" s="413">
        <v>706</v>
      </c>
      <c r="G33" s="48">
        <v>120</v>
      </c>
      <c r="H33" s="15" t="s">
        <v>37</v>
      </c>
      <c r="I33" s="78" t="s">
        <v>208</v>
      </c>
      <c r="J33" s="18"/>
      <c r="K33" s="399"/>
      <c r="L33" s="400"/>
      <c r="M33" s="400"/>
      <c r="N33" s="400"/>
      <c r="O33" s="401"/>
    </row>
    <row r="34" spans="2:15" ht="15.75" thickBot="1" x14ac:dyDescent="0.3">
      <c r="B34" s="407"/>
      <c r="C34" s="421"/>
      <c r="D34" s="422"/>
      <c r="E34" s="423"/>
      <c r="F34" s="423"/>
      <c r="G34" s="49">
        <v>240</v>
      </c>
      <c r="H34" s="76" t="s">
        <v>37</v>
      </c>
      <c r="I34" s="79" t="s">
        <v>200</v>
      </c>
      <c r="J34" s="20"/>
      <c r="K34" s="424"/>
      <c r="L34" s="425"/>
      <c r="M34" s="425"/>
      <c r="N34" s="425"/>
      <c r="O34" s="426"/>
    </row>
    <row r="35" spans="2:15" x14ac:dyDescent="0.25">
      <c r="B35" s="64" t="s">
        <v>32</v>
      </c>
      <c r="C35" s="65"/>
      <c r="D35" s="65"/>
      <c r="E35" s="65"/>
      <c r="F35" s="65"/>
      <c r="G35" s="65"/>
      <c r="H35" s="65"/>
      <c r="I35" s="65"/>
      <c r="J35" s="66"/>
      <c r="K35" s="66"/>
      <c r="L35" s="66"/>
      <c r="M35" s="66"/>
      <c r="N35" s="66"/>
      <c r="O35" s="67"/>
    </row>
    <row r="36" spans="2:15" ht="15.75" thickBot="1" x14ac:dyDescent="0.3">
      <c r="B36" s="68" t="s">
        <v>44</v>
      </c>
      <c r="C36" s="69"/>
      <c r="D36" s="69"/>
      <c r="E36" s="69"/>
      <c r="F36" s="69"/>
      <c r="G36" s="69"/>
      <c r="H36" s="69"/>
      <c r="I36" s="69"/>
      <c r="J36" s="70"/>
      <c r="K36" s="70"/>
      <c r="L36" s="70"/>
      <c r="M36" s="70"/>
      <c r="N36" s="70"/>
      <c r="O36" s="71"/>
    </row>
  </sheetData>
  <mergeCells count="91">
    <mergeCell ref="K2:O2"/>
    <mergeCell ref="K3:O3"/>
    <mergeCell ref="K4:O4"/>
    <mergeCell ref="K5:O5"/>
    <mergeCell ref="K6:O6"/>
    <mergeCell ref="K7:O7"/>
    <mergeCell ref="K8:O8"/>
    <mergeCell ref="K9:O9"/>
    <mergeCell ref="K10:O10"/>
    <mergeCell ref="K32:O32"/>
    <mergeCell ref="K14:O14"/>
    <mergeCell ref="K30:O30"/>
    <mergeCell ref="K31:O31"/>
    <mergeCell ref="K15:O15"/>
    <mergeCell ref="K11:O11"/>
    <mergeCell ref="K12:O12"/>
    <mergeCell ref="K13:O13"/>
    <mergeCell ref="K20:O20"/>
    <mergeCell ref="K16:O16"/>
    <mergeCell ref="K17:O17"/>
    <mergeCell ref="K18:O18"/>
    <mergeCell ref="K34:O34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3:O33"/>
    <mergeCell ref="H24:H25"/>
    <mergeCell ref="H22:H23"/>
    <mergeCell ref="G24:G25"/>
    <mergeCell ref="G22:G23"/>
    <mergeCell ref="G11:G12"/>
    <mergeCell ref="H3:H4"/>
    <mergeCell ref="G5:G6"/>
    <mergeCell ref="G3:G4"/>
    <mergeCell ref="E5:E6"/>
    <mergeCell ref="E3:E4"/>
    <mergeCell ref="H5:H6"/>
    <mergeCell ref="F3:F4"/>
    <mergeCell ref="F5:F6"/>
    <mergeCell ref="B29:B34"/>
    <mergeCell ref="E24:E25"/>
    <mergeCell ref="E22:E23"/>
    <mergeCell ref="B9:B20"/>
    <mergeCell ref="B3:B7"/>
    <mergeCell ref="B22:B27"/>
    <mergeCell ref="E19:E20"/>
    <mergeCell ref="D19:D20"/>
    <mergeCell ref="D3:D4"/>
    <mergeCell ref="D5:D6"/>
    <mergeCell ref="D22:D23"/>
    <mergeCell ref="D24:D25"/>
    <mergeCell ref="D29:D30"/>
    <mergeCell ref="D31:D32"/>
    <mergeCell ref="D33:D34"/>
    <mergeCell ref="F22:F23"/>
    <mergeCell ref="F24:F25"/>
    <mergeCell ref="F29:F30"/>
    <mergeCell ref="F11:F12"/>
    <mergeCell ref="F17:F18"/>
    <mergeCell ref="F19:F20"/>
    <mergeCell ref="F33:F34"/>
    <mergeCell ref="C3:C4"/>
    <mergeCell ref="C5:C6"/>
    <mergeCell ref="C29:C30"/>
    <mergeCell ref="C31:C32"/>
    <mergeCell ref="C33:C34"/>
    <mergeCell ref="C22:C23"/>
    <mergeCell ref="C24:C25"/>
    <mergeCell ref="F31:F32"/>
    <mergeCell ref="E33:E34"/>
    <mergeCell ref="E31:E32"/>
    <mergeCell ref="C13:C14"/>
    <mergeCell ref="C15:C16"/>
    <mergeCell ref="C17:C18"/>
    <mergeCell ref="C19:C20"/>
    <mergeCell ref="E29:E30"/>
    <mergeCell ref="K19:O19"/>
    <mergeCell ref="G9:G10"/>
    <mergeCell ref="F9:F10"/>
    <mergeCell ref="D9:D10"/>
    <mergeCell ref="E9:E10"/>
    <mergeCell ref="E11:E12"/>
    <mergeCell ref="D11:D12"/>
    <mergeCell ref="D17:D18"/>
    <mergeCell ref="E17:E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7493-CECB-4E73-9FFC-1A138BC5D19A}">
  <dimension ref="A2:W26"/>
  <sheetViews>
    <sheetView topLeftCell="K1" zoomScaleNormal="100" workbookViewId="0">
      <selection activeCell="V32" sqref="V32"/>
    </sheetView>
  </sheetViews>
  <sheetFormatPr defaultRowHeight="15" x14ac:dyDescent="0.25"/>
  <cols>
    <col min="1" max="1" width="9.140625" style="141"/>
    <col min="3" max="3" width="5.42578125" bestFit="1" customWidth="1"/>
    <col min="4" max="5" width="4.85546875" bestFit="1" customWidth="1"/>
    <col min="6" max="6" width="5.85546875" bestFit="1" customWidth="1"/>
    <col min="7" max="7" width="7.140625" bestFit="1" customWidth="1"/>
    <col min="8" max="8" width="5.7109375" bestFit="1" customWidth="1"/>
    <col min="9" max="9" width="8.42578125" bestFit="1" customWidth="1"/>
    <col min="10" max="10" width="9.42578125" bestFit="1" customWidth="1"/>
    <col min="11" max="11" width="8.5703125" bestFit="1" customWidth="1"/>
    <col min="12" max="12" width="3.85546875" customWidth="1"/>
    <col min="17" max="17" width="3.140625" customWidth="1"/>
  </cols>
  <sheetData>
    <row r="2" spans="1:23" s="99" customFormat="1" x14ac:dyDescent="0.25">
      <c r="A2" s="102" t="s">
        <v>34</v>
      </c>
      <c r="B2" s="102" t="s">
        <v>85</v>
      </c>
      <c r="C2" s="102" t="s">
        <v>86</v>
      </c>
      <c r="D2" s="102" t="s">
        <v>87</v>
      </c>
      <c r="E2" s="102" t="s">
        <v>88</v>
      </c>
      <c r="F2" s="102" t="s">
        <v>89</v>
      </c>
      <c r="G2" s="102" t="s">
        <v>90</v>
      </c>
      <c r="H2" s="102" t="s">
        <v>91</v>
      </c>
      <c r="I2" s="102" t="s">
        <v>92</v>
      </c>
      <c r="J2" s="102" t="s">
        <v>93</v>
      </c>
      <c r="K2" s="103" t="s">
        <v>94</v>
      </c>
      <c r="L2" s="104"/>
      <c r="N2" s="105"/>
    </row>
    <row r="3" spans="1:23" x14ac:dyDescent="0.25">
      <c r="A3" s="106" t="s">
        <v>95</v>
      </c>
      <c r="B3" s="107" t="s">
        <v>25</v>
      </c>
      <c r="C3" s="108">
        <v>0.2</v>
      </c>
      <c r="D3" s="109">
        <v>288</v>
      </c>
      <c r="E3" s="109"/>
      <c r="F3" s="109">
        <v>115</v>
      </c>
      <c r="G3" s="108">
        <v>3</v>
      </c>
      <c r="H3" s="109">
        <v>60</v>
      </c>
      <c r="I3" s="109">
        <v>56</v>
      </c>
      <c r="J3" s="109">
        <v>101</v>
      </c>
      <c r="K3" s="110">
        <v>72</v>
      </c>
      <c r="L3" s="111"/>
      <c r="M3" s="112" t="s">
        <v>96</v>
      </c>
      <c r="N3" s="102" t="s">
        <v>97</v>
      </c>
      <c r="O3" s="113" t="s">
        <v>98</v>
      </c>
      <c r="P3" s="102" t="s">
        <v>99</v>
      </c>
      <c r="R3" s="112" t="s">
        <v>86</v>
      </c>
      <c r="S3" s="114" t="s">
        <v>100</v>
      </c>
      <c r="T3" s="112"/>
      <c r="U3" s="112" t="s">
        <v>86</v>
      </c>
      <c r="V3" s="115"/>
      <c r="W3" s="115"/>
    </row>
    <row r="4" spans="1:23" x14ac:dyDescent="0.25">
      <c r="A4" s="106" t="s">
        <v>101</v>
      </c>
      <c r="B4" s="107" t="s">
        <v>25</v>
      </c>
      <c r="C4" s="108">
        <v>0.17</v>
      </c>
      <c r="D4" s="109">
        <v>245</v>
      </c>
      <c r="E4" s="109"/>
      <c r="F4" s="109">
        <v>230</v>
      </c>
      <c r="G4" s="108">
        <v>2</v>
      </c>
      <c r="H4" s="109">
        <v>50</v>
      </c>
      <c r="I4" s="109">
        <v>49</v>
      </c>
      <c r="J4" s="109">
        <v>91</v>
      </c>
      <c r="K4" s="116">
        <v>61</v>
      </c>
      <c r="L4" s="111"/>
      <c r="M4" s="115" t="s">
        <v>102</v>
      </c>
      <c r="N4" s="117">
        <v>4.0500000000000001E-2</v>
      </c>
      <c r="O4" s="118">
        <f t="shared" ref="O4:O18" si="0">N4*$P$4</f>
        <v>40.5</v>
      </c>
      <c r="P4" s="119">
        <v>1000</v>
      </c>
      <c r="R4" s="115">
        <v>0.05</v>
      </c>
      <c r="S4" s="120">
        <v>20</v>
      </c>
      <c r="T4" s="115"/>
      <c r="U4" s="119">
        <v>0.09</v>
      </c>
      <c r="V4" s="115"/>
      <c r="W4" s="115"/>
    </row>
    <row r="5" spans="1:23" x14ac:dyDescent="0.25">
      <c r="A5" s="121" t="s">
        <v>103</v>
      </c>
      <c r="B5" s="122" t="s">
        <v>104</v>
      </c>
      <c r="C5" s="123">
        <v>0.14000000000000001</v>
      </c>
      <c r="D5" s="124">
        <v>200</v>
      </c>
      <c r="E5" s="124">
        <v>300</v>
      </c>
      <c r="F5" s="124">
        <v>115</v>
      </c>
      <c r="G5" s="123">
        <v>2</v>
      </c>
      <c r="H5" s="124">
        <v>60</v>
      </c>
      <c r="I5" s="124">
        <v>41</v>
      </c>
      <c r="J5" s="124">
        <v>81</v>
      </c>
      <c r="K5" s="125">
        <v>50</v>
      </c>
      <c r="L5" s="111"/>
      <c r="M5" s="126" t="s">
        <v>105</v>
      </c>
      <c r="N5" s="117">
        <v>6.8500000000000005E-2</v>
      </c>
      <c r="O5" s="118">
        <f t="shared" si="0"/>
        <v>68.5</v>
      </c>
      <c r="P5" s="115"/>
      <c r="R5" s="115">
        <v>0.3</v>
      </c>
      <c r="S5" s="120">
        <v>80</v>
      </c>
      <c r="T5" s="115"/>
      <c r="U5" s="112" t="s">
        <v>106</v>
      </c>
      <c r="V5" s="115"/>
      <c r="W5" s="115"/>
    </row>
    <row r="6" spans="1:23" x14ac:dyDescent="0.25">
      <c r="A6" s="121" t="s">
        <v>103</v>
      </c>
      <c r="B6" s="122" t="s">
        <v>104</v>
      </c>
      <c r="C6" s="123">
        <v>0.11</v>
      </c>
      <c r="D6" s="124">
        <v>160</v>
      </c>
      <c r="E6" s="124">
        <v>240</v>
      </c>
      <c r="F6" s="124">
        <v>230</v>
      </c>
      <c r="G6" s="123">
        <v>1</v>
      </c>
      <c r="H6" s="124">
        <v>50</v>
      </c>
      <c r="I6" s="124">
        <v>34</v>
      </c>
      <c r="J6" s="127"/>
      <c r="K6" s="116"/>
      <c r="L6" s="111"/>
      <c r="M6" s="115" t="s">
        <v>107</v>
      </c>
      <c r="N6" s="117">
        <v>0.158</v>
      </c>
      <c r="O6" s="118">
        <f t="shared" si="0"/>
        <v>158</v>
      </c>
      <c r="P6" s="115"/>
      <c r="R6" s="115">
        <v>0.6</v>
      </c>
      <c r="S6" s="120">
        <v>150</v>
      </c>
      <c r="T6" s="115"/>
      <c r="U6" s="128">
        <f ca="1">FORECAST(U4,OFFSET(S4:S8,MATCH(U4,R4:R8,1)-1,0,2), OFFSET(R4:R8,MATCH(U4,R4:R8,1)-1,0,2))</f>
        <v>29.6</v>
      </c>
      <c r="V6" s="115" t="s">
        <v>108</v>
      </c>
      <c r="W6" s="115"/>
    </row>
    <row r="7" spans="1:23" x14ac:dyDescent="0.25">
      <c r="A7" s="129" t="s">
        <v>109</v>
      </c>
      <c r="B7" s="130" t="s">
        <v>110</v>
      </c>
      <c r="C7" s="131">
        <v>0.24</v>
      </c>
      <c r="D7" s="132">
        <v>350</v>
      </c>
      <c r="E7" s="132">
        <v>550</v>
      </c>
      <c r="F7" s="132">
        <v>115</v>
      </c>
      <c r="G7" s="131">
        <v>7</v>
      </c>
      <c r="H7" s="132">
        <v>60</v>
      </c>
      <c r="I7" s="132">
        <v>65</v>
      </c>
      <c r="J7" s="132">
        <v>115</v>
      </c>
      <c r="K7" s="133">
        <v>137.5</v>
      </c>
      <c r="L7" s="111"/>
      <c r="M7" s="115" t="s">
        <v>111</v>
      </c>
      <c r="N7" s="117">
        <v>0.245</v>
      </c>
      <c r="O7" s="118">
        <f t="shared" si="0"/>
        <v>245</v>
      </c>
      <c r="P7" s="115"/>
      <c r="R7" s="115">
        <v>1.7</v>
      </c>
      <c r="S7" s="120">
        <v>400</v>
      </c>
      <c r="T7" s="115"/>
      <c r="U7" s="115"/>
      <c r="V7" s="115"/>
      <c r="W7" s="115"/>
    </row>
    <row r="8" spans="1:23" x14ac:dyDescent="0.25">
      <c r="A8" s="129" t="s">
        <v>112</v>
      </c>
      <c r="B8" s="130" t="s">
        <v>110</v>
      </c>
      <c r="C8" s="131">
        <v>0.24</v>
      </c>
      <c r="D8" s="132">
        <v>350</v>
      </c>
      <c r="E8" s="132">
        <v>550</v>
      </c>
      <c r="F8" s="132">
        <v>230</v>
      </c>
      <c r="G8" s="131">
        <v>3.5</v>
      </c>
      <c r="H8" s="132">
        <v>50</v>
      </c>
      <c r="I8" s="132">
        <v>65</v>
      </c>
      <c r="J8" s="132">
        <v>115</v>
      </c>
      <c r="K8" s="133">
        <v>137.5</v>
      </c>
      <c r="L8" s="111"/>
      <c r="M8" s="115" t="s">
        <v>113</v>
      </c>
      <c r="N8" s="117">
        <v>0.32</v>
      </c>
      <c r="O8" s="118">
        <f t="shared" si="0"/>
        <v>320</v>
      </c>
      <c r="P8" s="115"/>
      <c r="R8" s="115">
        <v>4.5</v>
      </c>
      <c r="S8" s="120">
        <v>2500</v>
      </c>
      <c r="T8" s="115"/>
      <c r="U8" s="115"/>
      <c r="V8" s="115"/>
      <c r="W8" s="115"/>
    </row>
    <row r="9" spans="1:23" ht="15.75" thickBot="1" x14ac:dyDescent="0.3">
      <c r="A9" s="121" t="s">
        <v>114</v>
      </c>
      <c r="B9" s="122" t="s">
        <v>104</v>
      </c>
      <c r="C9" s="123">
        <v>0.42</v>
      </c>
      <c r="D9" s="124">
        <v>600</v>
      </c>
      <c r="E9" s="124">
        <v>750</v>
      </c>
      <c r="F9" s="124">
        <v>115</v>
      </c>
      <c r="G9" s="123">
        <v>6</v>
      </c>
      <c r="H9" s="124">
        <v>60</v>
      </c>
      <c r="I9" s="124">
        <v>108</v>
      </c>
      <c r="J9" s="124">
        <v>178</v>
      </c>
      <c r="K9" s="125">
        <v>152</v>
      </c>
      <c r="L9" s="111"/>
      <c r="M9" s="134" t="s">
        <v>115</v>
      </c>
      <c r="N9" s="135">
        <v>0.35799999999999998</v>
      </c>
      <c r="O9" s="136">
        <f t="shared" si="0"/>
        <v>358</v>
      </c>
      <c r="P9" s="134"/>
      <c r="R9" s="115"/>
      <c r="S9" s="115" t="s">
        <v>116</v>
      </c>
      <c r="T9" s="115"/>
      <c r="U9" s="115"/>
      <c r="V9" s="115"/>
      <c r="W9" s="115"/>
    </row>
    <row r="10" spans="1:23" ht="15.75" thickTop="1" x14ac:dyDescent="0.25">
      <c r="A10" s="121" t="s">
        <v>114</v>
      </c>
      <c r="B10" s="122" t="s">
        <v>104</v>
      </c>
      <c r="C10" s="123">
        <v>0.42</v>
      </c>
      <c r="D10" s="124">
        <v>600</v>
      </c>
      <c r="E10" s="124">
        <v>750</v>
      </c>
      <c r="F10" s="124">
        <v>230</v>
      </c>
      <c r="G10" s="123">
        <v>3</v>
      </c>
      <c r="H10" s="124">
        <v>50</v>
      </c>
      <c r="I10" s="124">
        <v>108</v>
      </c>
      <c r="J10" s="124">
        <v>178</v>
      </c>
      <c r="K10" s="125">
        <v>152</v>
      </c>
      <c r="L10" s="111"/>
      <c r="M10" s="137" t="s">
        <v>117</v>
      </c>
      <c r="N10" s="138">
        <v>1.54E-2</v>
      </c>
      <c r="O10" s="139">
        <f t="shared" si="0"/>
        <v>15.4</v>
      </c>
      <c r="P10" s="137"/>
    </row>
    <row r="11" spans="1:23" x14ac:dyDescent="0.25">
      <c r="A11" s="121" t="s">
        <v>118</v>
      </c>
      <c r="B11" s="122" t="s">
        <v>104</v>
      </c>
      <c r="C11" s="123">
        <v>0.59</v>
      </c>
      <c r="D11" s="124">
        <v>850</v>
      </c>
      <c r="E11" s="124">
        <v>1000</v>
      </c>
      <c r="F11" s="124">
        <v>115</v>
      </c>
      <c r="G11" s="123">
        <v>2.2999999999999998</v>
      </c>
      <c r="H11" s="124">
        <v>60</v>
      </c>
      <c r="I11" s="124">
        <v>147</v>
      </c>
      <c r="J11" s="124">
        <v>209</v>
      </c>
      <c r="K11" s="125">
        <v>213</v>
      </c>
      <c r="L11" s="111"/>
      <c r="M11" s="115" t="s">
        <v>119</v>
      </c>
      <c r="N11" s="117">
        <v>2.2700000000000001E-2</v>
      </c>
      <c r="O11" s="118">
        <f t="shared" si="0"/>
        <v>22.700000000000003</v>
      </c>
      <c r="P11" s="115"/>
      <c r="R11" s="112" t="s">
        <v>86</v>
      </c>
      <c r="S11" s="114" t="s">
        <v>100</v>
      </c>
      <c r="T11" s="112"/>
      <c r="U11" s="112" t="s">
        <v>86</v>
      </c>
      <c r="V11" s="115"/>
      <c r="W11" s="115"/>
    </row>
    <row r="12" spans="1:23" x14ac:dyDescent="0.25">
      <c r="A12" s="121" t="s">
        <v>118</v>
      </c>
      <c r="B12" s="122" t="s">
        <v>104</v>
      </c>
      <c r="C12" s="123">
        <v>0.49</v>
      </c>
      <c r="D12" s="124">
        <v>700</v>
      </c>
      <c r="E12" s="124">
        <v>825</v>
      </c>
      <c r="F12" s="124">
        <v>230</v>
      </c>
      <c r="G12" s="123">
        <v>1.2</v>
      </c>
      <c r="H12" s="124">
        <v>50</v>
      </c>
      <c r="I12" s="124">
        <v>124</v>
      </c>
      <c r="J12" s="124">
        <v>190</v>
      </c>
      <c r="K12" s="125">
        <v>177</v>
      </c>
      <c r="L12" s="111"/>
      <c r="M12" s="115" t="s">
        <v>120</v>
      </c>
      <c r="N12" s="117">
        <v>3.1300000000000001E-2</v>
      </c>
      <c r="O12" s="118">
        <f t="shared" si="0"/>
        <v>31.3</v>
      </c>
      <c r="P12" s="115"/>
      <c r="R12" s="115">
        <v>0.14000000000000001</v>
      </c>
      <c r="S12" s="120">
        <v>81</v>
      </c>
      <c r="T12" s="115"/>
      <c r="U12" s="119">
        <v>1.4</v>
      </c>
      <c r="V12" s="115"/>
      <c r="W12" s="115"/>
    </row>
    <row r="13" spans="1:23" x14ac:dyDescent="0.25">
      <c r="A13" s="121" t="s">
        <v>121</v>
      </c>
      <c r="B13" s="122" t="s">
        <v>104</v>
      </c>
      <c r="C13" s="123">
        <v>0.59</v>
      </c>
      <c r="D13" s="124">
        <v>850</v>
      </c>
      <c r="E13" s="124">
        <v>1080</v>
      </c>
      <c r="F13" s="124">
        <v>115</v>
      </c>
      <c r="G13" s="123">
        <v>6.5</v>
      </c>
      <c r="H13" s="124">
        <v>60</v>
      </c>
      <c r="I13" s="124">
        <v>150</v>
      </c>
      <c r="J13" s="124">
        <v>209</v>
      </c>
      <c r="K13" s="125">
        <v>213</v>
      </c>
      <c r="L13" s="111"/>
      <c r="M13" s="115" t="s">
        <v>122</v>
      </c>
      <c r="N13" s="117">
        <v>3.7100000000000001E-2</v>
      </c>
      <c r="O13" s="118">
        <f t="shared" si="0"/>
        <v>37.1</v>
      </c>
      <c r="P13" s="115"/>
      <c r="R13" s="115">
        <v>0.42</v>
      </c>
      <c r="S13" s="120">
        <v>178</v>
      </c>
      <c r="T13" s="115"/>
      <c r="U13" s="112" t="s">
        <v>106</v>
      </c>
      <c r="V13" s="115"/>
      <c r="W13" s="115"/>
    </row>
    <row r="14" spans="1:23" x14ac:dyDescent="0.25">
      <c r="A14" s="121" t="s">
        <v>121</v>
      </c>
      <c r="B14" s="122" t="s">
        <v>104</v>
      </c>
      <c r="C14" s="123">
        <v>0.59</v>
      </c>
      <c r="D14" s="124">
        <v>850</v>
      </c>
      <c r="E14" s="124">
        <v>1080</v>
      </c>
      <c r="F14" s="124">
        <v>230</v>
      </c>
      <c r="G14" s="123">
        <v>3.2</v>
      </c>
      <c r="H14" s="124">
        <v>50</v>
      </c>
      <c r="I14" s="124">
        <v>150</v>
      </c>
      <c r="J14" s="124">
        <v>209</v>
      </c>
      <c r="K14" s="125">
        <v>213</v>
      </c>
      <c r="L14" s="111"/>
      <c r="M14" s="115" t="s">
        <v>123</v>
      </c>
      <c r="N14" s="117">
        <v>5.16E-2</v>
      </c>
      <c r="O14" s="118">
        <f t="shared" si="0"/>
        <v>51.6</v>
      </c>
      <c r="P14" s="115"/>
      <c r="R14" s="115">
        <v>0.59</v>
      </c>
      <c r="S14" s="120">
        <v>209</v>
      </c>
      <c r="T14" s="115"/>
      <c r="U14" s="140">
        <f ca="1">FORECAST(U12,OFFSET(S12:S16,MATCH(U12,R12:R16,1)-1,0,2), OFFSET(R12:R16,MATCH(U12,R12:R16,1)-1,0,2))</f>
        <v>578.97297297297303</v>
      </c>
      <c r="V14" s="115" t="s">
        <v>108</v>
      </c>
      <c r="W14" s="115"/>
    </row>
    <row r="15" spans="1:23" x14ac:dyDescent="0.25">
      <c r="A15" s="106" t="s">
        <v>124</v>
      </c>
      <c r="B15" s="107" t="s">
        <v>25</v>
      </c>
      <c r="C15" s="108">
        <v>0.7</v>
      </c>
      <c r="D15" s="109">
        <v>1000</v>
      </c>
      <c r="E15" s="109"/>
      <c r="F15" s="109">
        <v>115</v>
      </c>
      <c r="G15" s="108">
        <v>5</v>
      </c>
      <c r="H15" s="109">
        <v>60</v>
      </c>
      <c r="I15" s="109">
        <v>172</v>
      </c>
      <c r="J15" s="109">
        <v>260</v>
      </c>
      <c r="K15" s="110">
        <v>253</v>
      </c>
      <c r="L15" s="111"/>
      <c r="M15" s="115" t="s">
        <v>125</v>
      </c>
      <c r="N15" s="117">
        <v>8.3900000000000002E-2</v>
      </c>
      <c r="O15" s="118">
        <f t="shared" si="0"/>
        <v>83.9</v>
      </c>
      <c r="P15" s="115"/>
      <c r="R15" s="115">
        <v>1.7</v>
      </c>
      <c r="S15" s="120">
        <v>716</v>
      </c>
      <c r="T15" s="115"/>
      <c r="U15" s="115"/>
      <c r="V15" s="115"/>
      <c r="W15" s="115"/>
    </row>
    <row r="16" spans="1:23" x14ac:dyDescent="0.25">
      <c r="A16" s="106" t="s">
        <v>30</v>
      </c>
      <c r="B16" s="107" t="s">
        <v>25</v>
      </c>
      <c r="C16" s="108">
        <v>0.57999999999999996</v>
      </c>
      <c r="D16" s="109">
        <v>835</v>
      </c>
      <c r="E16" s="109"/>
      <c r="F16" s="109">
        <v>230</v>
      </c>
      <c r="G16" s="108">
        <v>4</v>
      </c>
      <c r="H16" s="109">
        <v>50</v>
      </c>
      <c r="I16" s="109">
        <v>145</v>
      </c>
      <c r="J16" s="109">
        <v>207</v>
      </c>
      <c r="K16" s="110">
        <v>209</v>
      </c>
      <c r="L16" s="111"/>
      <c r="M16" s="115" t="s">
        <v>126</v>
      </c>
      <c r="N16" s="117">
        <v>0.13800000000000001</v>
      </c>
      <c r="O16" s="118">
        <f t="shared" si="0"/>
        <v>138</v>
      </c>
      <c r="P16" s="115"/>
      <c r="R16" s="115">
        <v>2.2000000000000002</v>
      </c>
      <c r="S16" s="120">
        <v>925</v>
      </c>
      <c r="T16" s="115"/>
      <c r="U16" s="115"/>
      <c r="V16" s="115"/>
      <c r="W16" s="115"/>
    </row>
    <row r="17" spans="1:23" x14ac:dyDescent="0.25">
      <c r="A17" s="129" t="s">
        <v>127</v>
      </c>
      <c r="B17" s="130" t="s">
        <v>110</v>
      </c>
      <c r="C17" s="131">
        <v>0.83</v>
      </c>
      <c r="D17" s="132">
        <v>1200</v>
      </c>
      <c r="E17" s="132">
        <v>1500</v>
      </c>
      <c r="F17" s="132">
        <v>115</v>
      </c>
      <c r="G17" s="131">
        <v>7</v>
      </c>
      <c r="H17" s="132">
        <v>60</v>
      </c>
      <c r="I17" s="132">
        <v>202</v>
      </c>
      <c r="J17" s="132">
        <v>318</v>
      </c>
      <c r="K17" s="133">
        <v>375</v>
      </c>
      <c r="L17" s="111"/>
      <c r="M17" s="115" t="s">
        <v>128</v>
      </c>
      <c r="N17" s="117">
        <v>0.184</v>
      </c>
      <c r="O17" s="118">
        <f t="shared" si="0"/>
        <v>184</v>
      </c>
      <c r="P17" s="115"/>
      <c r="R17" s="115"/>
      <c r="S17" s="115" t="s">
        <v>129</v>
      </c>
      <c r="T17" s="115"/>
      <c r="U17" s="115"/>
      <c r="V17" s="115"/>
      <c r="W17" s="115"/>
    </row>
    <row r="18" spans="1:23" x14ac:dyDescent="0.25">
      <c r="A18" s="129" t="s">
        <v>130</v>
      </c>
      <c r="B18" s="130" t="s">
        <v>110</v>
      </c>
      <c r="C18" s="131">
        <v>0.83</v>
      </c>
      <c r="D18" s="132">
        <v>1200</v>
      </c>
      <c r="E18" s="132">
        <v>1500</v>
      </c>
      <c r="F18" s="132">
        <v>230</v>
      </c>
      <c r="G18" s="131">
        <v>3.5</v>
      </c>
      <c r="H18" s="132">
        <v>50</v>
      </c>
      <c r="I18" s="132">
        <v>202</v>
      </c>
      <c r="J18" s="132">
        <v>318</v>
      </c>
      <c r="K18" s="133">
        <v>375</v>
      </c>
      <c r="L18" s="111"/>
      <c r="M18" s="115" t="s">
        <v>131</v>
      </c>
      <c r="N18" s="117">
        <v>0.32500000000000001</v>
      </c>
      <c r="O18" s="118">
        <f t="shared" si="0"/>
        <v>325</v>
      </c>
      <c r="P18" s="115"/>
    </row>
    <row r="19" spans="1:23" x14ac:dyDescent="0.25">
      <c r="A19" s="121">
        <v>2400</v>
      </c>
      <c r="B19" s="122" t="s">
        <v>104</v>
      </c>
      <c r="C19" s="123">
        <v>1.7</v>
      </c>
      <c r="D19" s="124">
        <v>2400</v>
      </c>
      <c r="E19" s="124">
        <v>3500</v>
      </c>
      <c r="F19" s="124">
        <v>115</v>
      </c>
      <c r="G19" s="123">
        <v>11</v>
      </c>
      <c r="H19" s="124">
        <v>60</v>
      </c>
      <c r="I19" s="124">
        <v>400</v>
      </c>
      <c r="J19" s="124">
        <v>716</v>
      </c>
      <c r="K19" s="125">
        <v>612</v>
      </c>
      <c r="L19" s="111"/>
      <c r="M19" s="115" t="s">
        <v>132</v>
      </c>
      <c r="N19" s="117">
        <v>0.432</v>
      </c>
      <c r="O19" s="118">
        <f>N19*$P$4</f>
        <v>432</v>
      </c>
      <c r="P19" s="115"/>
      <c r="R19" s="112" t="s">
        <v>86</v>
      </c>
      <c r="S19" s="114" t="s">
        <v>100</v>
      </c>
      <c r="T19" s="112"/>
      <c r="U19" s="112" t="s">
        <v>86</v>
      </c>
      <c r="V19" s="115"/>
      <c r="W19" s="115"/>
    </row>
    <row r="20" spans="1:23" x14ac:dyDescent="0.25">
      <c r="A20" s="121">
        <v>2400</v>
      </c>
      <c r="B20" s="122" t="s">
        <v>104</v>
      </c>
      <c r="C20" s="123">
        <v>1.7</v>
      </c>
      <c r="D20" s="124">
        <v>2400</v>
      </c>
      <c r="E20" s="124">
        <v>3500</v>
      </c>
      <c r="F20" s="124">
        <v>230</v>
      </c>
      <c r="G20" s="123">
        <v>5.5</v>
      </c>
      <c r="H20" s="124">
        <v>50</v>
      </c>
      <c r="I20" s="124">
        <v>400</v>
      </c>
      <c r="J20" s="124">
        <v>716</v>
      </c>
      <c r="K20" s="125">
        <v>612</v>
      </c>
      <c r="L20" s="111"/>
      <c r="R20" s="173">
        <v>0.14000000000000001</v>
      </c>
      <c r="S20" s="174">
        <v>62</v>
      </c>
      <c r="T20" s="115"/>
      <c r="U20" s="119">
        <v>1.4</v>
      </c>
      <c r="V20" s="115"/>
      <c r="W20" s="115"/>
    </row>
    <row r="21" spans="1:23" x14ac:dyDescent="0.25">
      <c r="A21" s="129" t="s">
        <v>133</v>
      </c>
      <c r="B21" s="130" t="s">
        <v>110</v>
      </c>
      <c r="C21" s="131">
        <v>1.8</v>
      </c>
      <c r="D21" s="132">
        <v>2600</v>
      </c>
      <c r="E21" s="132">
        <v>4200</v>
      </c>
      <c r="F21" s="132">
        <v>115</v>
      </c>
      <c r="G21" s="131">
        <v>8.6</v>
      </c>
      <c r="H21" s="132">
        <v>60</v>
      </c>
      <c r="I21" s="132">
        <v>475</v>
      </c>
      <c r="J21" s="132">
        <v>758</v>
      </c>
      <c r="K21" s="133">
        <v>1050</v>
      </c>
      <c r="L21" s="111"/>
      <c r="R21" s="173">
        <v>0.38</v>
      </c>
      <c r="S21" s="174">
        <v>171</v>
      </c>
      <c r="T21" s="115"/>
      <c r="U21" s="112" t="s">
        <v>106</v>
      </c>
      <c r="V21" s="115"/>
      <c r="W21" s="115"/>
    </row>
    <row r="22" spans="1:23" x14ac:dyDescent="0.25">
      <c r="A22" s="129" t="s">
        <v>134</v>
      </c>
      <c r="B22" s="130" t="s">
        <v>110</v>
      </c>
      <c r="C22" s="131">
        <v>1.8</v>
      </c>
      <c r="D22" s="132">
        <v>2600</v>
      </c>
      <c r="E22" s="132">
        <v>4200</v>
      </c>
      <c r="F22" s="132">
        <v>230</v>
      </c>
      <c r="G22" s="131">
        <v>3.9</v>
      </c>
      <c r="H22" s="132">
        <v>50</v>
      </c>
      <c r="I22" s="132">
        <v>475</v>
      </c>
      <c r="J22" s="132">
        <v>758</v>
      </c>
      <c r="K22" s="133">
        <v>1050</v>
      </c>
      <c r="L22" s="111"/>
      <c r="R22" s="173">
        <v>1.04</v>
      </c>
      <c r="S22" s="174">
        <v>466</v>
      </c>
      <c r="T22" s="115"/>
      <c r="U22" s="140">
        <f ca="1">FORECAST(U20,OFFSET(S20:S24,MATCH(U20,R20:R24,1)-1,0,2), OFFSET(R20:R24,MATCH(U20,R20:R24,1)-1,0,2))</f>
        <v>626.85106382978722</v>
      </c>
      <c r="V22" s="115" t="s">
        <v>108</v>
      </c>
      <c r="W22" s="115"/>
    </row>
    <row r="23" spans="1:23" x14ac:dyDescent="0.25">
      <c r="A23" s="121">
        <v>3200</v>
      </c>
      <c r="B23" s="122" t="s">
        <v>104</v>
      </c>
      <c r="C23" s="123">
        <v>2.2000000000000002</v>
      </c>
      <c r="D23" s="124">
        <v>3200</v>
      </c>
      <c r="E23" s="124">
        <v>4100</v>
      </c>
      <c r="F23" s="124">
        <v>115</v>
      </c>
      <c r="G23" s="123">
        <v>13</v>
      </c>
      <c r="H23" s="124">
        <v>60</v>
      </c>
      <c r="I23" s="124">
        <v>775</v>
      </c>
      <c r="J23" s="124">
        <v>925</v>
      </c>
      <c r="K23" s="125">
        <v>791</v>
      </c>
      <c r="L23" s="111"/>
      <c r="R23" s="173">
        <v>2.92</v>
      </c>
      <c r="S23" s="174">
        <v>1306</v>
      </c>
      <c r="T23" s="115"/>
      <c r="U23" s="115"/>
      <c r="V23" s="115"/>
      <c r="W23" s="115"/>
    </row>
    <row r="24" spans="1:23" x14ac:dyDescent="0.25">
      <c r="A24" s="121">
        <v>3200</v>
      </c>
      <c r="B24" s="122" t="s">
        <v>104</v>
      </c>
      <c r="C24" s="123">
        <v>2.2000000000000002</v>
      </c>
      <c r="D24" s="124">
        <v>3200</v>
      </c>
      <c r="E24" s="124">
        <v>4100</v>
      </c>
      <c r="F24" s="124">
        <v>230</v>
      </c>
      <c r="G24" s="123">
        <v>6.5</v>
      </c>
      <c r="H24" s="124">
        <v>50</v>
      </c>
      <c r="I24" s="124">
        <v>775</v>
      </c>
      <c r="J24" s="124">
        <v>925</v>
      </c>
      <c r="K24" s="125">
        <v>791</v>
      </c>
      <c r="L24" s="111"/>
      <c r="R24" s="173">
        <v>5.83</v>
      </c>
      <c r="S24" s="174">
        <v>2612</v>
      </c>
      <c r="T24" s="115"/>
      <c r="U24" s="115"/>
      <c r="V24" s="115"/>
      <c r="W24" s="115"/>
    </row>
    <row r="25" spans="1:23" x14ac:dyDescent="0.25">
      <c r="A25" s="129" t="s">
        <v>135</v>
      </c>
      <c r="B25" s="130" t="s">
        <v>110</v>
      </c>
      <c r="C25" s="131">
        <v>4.5</v>
      </c>
      <c r="D25" s="132">
        <v>6500</v>
      </c>
      <c r="E25" s="132">
        <v>8400</v>
      </c>
      <c r="F25" s="132">
        <v>230</v>
      </c>
      <c r="G25" s="131">
        <v>15</v>
      </c>
      <c r="H25" s="132" t="s">
        <v>136</v>
      </c>
      <c r="I25" s="132">
        <v>2500</v>
      </c>
      <c r="J25" s="127"/>
      <c r="K25" s="132">
        <v>2100</v>
      </c>
      <c r="L25" s="111"/>
      <c r="R25" s="115"/>
      <c r="S25" s="115" t="s">
        <v>137</v>
      </c>
      <c r="T25" s="115"/>
      <c r="U25" s="115"/>
      <c r="V25" s="115"/>
      <c r="W25" s="115"/>
    </row>
    <row r="26" spans="1:23" x14ac:dyDescent="0.25">
      <c r="I26" s="142" t="s">
        <v>138</v>
      </c>
      <c r="J26" t="s">
        <v>138</v>
      </c>
      <c r="K26" t="s">
        <v>138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EABC-177D-4AC7-A817-F2DE66DDCBA3}">
  <dimension ref="A1:C14"/>
  <sheetViews>
    <sheetView showGridLines="0" showRowColHeaders="0" workbookViewId="0">
      <selection activeCell="C14" sqref="C14"/>
    </sheetView>
  </sheetViews>
  <sheetFormatPr defaultRowHeight="15" x14ac:dyDescent="0.25"/>
  <cols>
    <col min="1" max="1" width="9.7109375" style="205" bestFit="1" customWidth="1"/>
    <col min="2" max="2" width="9.7109375" style="205" customWidth="1"/>
    <col min="3" max="3" width="64.42578125" style="202" customWidth="1"/>
  </cols>
  <sheetData>
    <row r="1" spans="1:3" ht="15.75" thickBot="1" x14ac:dyDescent="0.3">
      <c r="A1" s="203" t="s">
        <v>232</v>
      </c>
      <c r="B1" s="203" t="s">
        <v>233</v>
      </c>
      <c r="C1" s="203" t="s">
        <v>234</v>
      </c>
    </row>
    <row r="2" spans="1:3" x14ac:dyDescent="0.25">
      <c r="A2" s="204">
        <v>44644</v>
      </c>
      <c r="B2" s="204" t="s">
        <v>231</v>
      </c>
      <c r="C2" s="202" t="s">
        <v>228</v>
      </c>
    </row>
    <row r="3" spans="1:3" x14ac:dyDescent="0.25">
      <c r="C3" s="202" t="s">
        <v>230</v>
      </c>
    </row>
    <row r="4" spans="1:3" x14ac:dyDescent="0.25">
      <c r="C4" s="202" t="s">
        <v>229</v>
      </c>
    </row>
    <row r="6" spans="1:3" x14ac:dyDescent="0.25">
      <c r="A6" s="204">
        <v>44648</v>
      </c>
      <c r="B6" s="205" t="s">
        <v>231</v>
      </c>
      <c r="C6" s="202" t="s">
        <v>241</v>
      </c>
    </row>
    <row r="7" spans="1:3" x14ac:dyDescent="0.25">
      <c r="C7" s="202" t="s">
        <v>242</v>
      </c>
    </row>
    <row r="8" spans="1:3" x14ac:dyDescent="0.25">
      <c r="C8" s="202" t="s">
        <v>243</v>
      </c>
    </row>
    <row r="10" spans="1:3" x14ac:dyDescent="0.25">
      <c r="A10" s="204">
        <v>44649</v>
      </c>
      <c r="B10" s="205" t="s">
        <v>231</v>
      </c>
      <c r="C10" s="202" t="s">
        <v>246</v>
      </c>
    </row>
    <row r="11" spans="1:3" x14ac:dyDescent="0.25">
      <c r="C11" s="202" t="s">
        <v>247</v>
      </c>
    </row>
    <row r="13" spans="1:3" x14ac:dyDescent="0.25">
      <c r="A13" s="204">
        <v>44663</v>
      </c>
      <c r="B13" s="205" t="s">
        <v>231</v>
      </c>
      <c r="C13" s="202" t="s">
        <v>268</v>
      </c>
    </row>
    <row r="14" spans="1:3" x14ac:dyDescent="0.25">
      <c r="C14" s="202" t="s">
        <v>269</v>
      </c>
    </row>
  </sheetData>
  <sheetProtection algorithmName="SHA-512" hashValue="2m/ryBh5lhiEialYu50F2rv7iIUyMwMQlI8F0VsA71fSuQOklsHXtLAfqW1ZO+oyr2ZJkLLvXibQMCAdINuvWQ==" saltValue="UtSIbQ+7EiW2qhtwZ9vKpg==" spinCount="100000" sheet="1" objects="1" scenarios="1" selectLockedCell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2C61-2E27-4FD6-8504-B7D071EFAF57}">
  <sheetPr>
    <pageSetUpPr fitToPage="1"/>
  </sheetPr>
  <dimension ref="B1:W43"/>
  <sheetViews>
    <sheetView topLeftCell="A10" zoomScaleNormal="100" workbookViewId="0">
      <selection activeCell="V32" sqref="V32"/>
    </sheetView>
  </sheetViews>
  <sheetFormatPr defaultRowHeight="15" x14ac:dyDescent="0.25"/>
  <cols>
    <col min="2" max="2" width="30.5703125" customWidth="1"/>
    <col min="3" max="3" width="8.5703125" customWidth="1"/>
    <col min="4" max="4" width="8.28515625" bestFit="1" customWidth="1"/>
    <col min="5" max="5" width="9.7109375" bestFit="1" customWidth="1"/>
    <col min="6" max="6" width="9.5703125" customWidth="1"/>
    <col min="7" max="8" width="9.7109375" bestFit="1" customWidth="1"/>
    <col min="9" max="9" width="11.140625" bestFit="1" customWidth="1"/>
    <col min="10" max="10" width="9.85546875" bestFit="1" customWidth="1"/>
    <col min="11" max="11" width="11.28515625" customWidth="1"/>
    <col min="12" max="12" width="11.5703125" customWidth="1"/>
    <col min="13" max="13" width="11.28515625" customWidth="1"/>
    <col min="14" max="14" width="26.42578125" bestFit="1" customWidth="1"/>
    <col min="15" max="15" width="9.42578125" bestFit="1" customWidth="1"/>
    <col min="16" max="21" width="8.42578125" bestFit="1" customWidth="1"/>
    <col min="22" max="23" width="11.5703125" bestFit="1" customWidth="1"/>
    <col min="259" max="259" width="30.5703125" customWidth="1"/>
    <col min="260" max="260" width="7.5703125" bestFit="1" customWidth="1"/>
    <col min="261" max="261" width="8.28515625" bestFit="1" customWidth="1"/>
    <col min="262" max="262" width="9.7109375" bestFit="1" customWidth="1"/>
    <col min="263" max="263" width="8.42578125" customWidth="1"/>
    <col min="264" max="265" width="9.7109375" bestFit="1" customWidth="1"/>
    <col min="266" max="266" width="11.140625" bestFit="1" customWidth="1"/>
    <col min="267" max="267" width="9.85546875" bestFit="1" customWidth="1"/>
    <col min="268" max="268" width="11.5703125" bestFit="1" customWidth="1"/>
    <col min="269" max="269" width="13.28515625" customWidth="1"/>
    <col min="270" max="270" width="26.42578125" bestFit="1" customWidth="1"/>
    <col min="271" max="271" width="9.42578125" bestFit="1" customWidth="1"/>
    <col min="272" max="277" width="8.42578125" bestFit="1" customWidth="1"/>
    <col min="278" max="279" width="11.5703125" bestFit="1" customWidth="1"/>
    <col min="515" max="515" width="30.5703125" customWidth="1"/>
    <col min="516" max="516" width="7.5703125" bestFit="1" customWidth="1"/>
    <col min="517" max="517" width="8.28515625" bestFit="1" customWidth="1"/>
    <col min="518" max="518" width="9.7109375" bestFit="1" customWidth="1"/>
    <col min="519" max="519" width="8.42578125" customWidth="1"/>
    <col min="520" max="521" width="9.7109375" bestFit="1" customWidth="1"/>
    <col min="522" max="522" width="11.140625" bestFit="1" customWidth="1"/>
    <col min="523" max="523" width="9.85546875" bestFit="1" customWidth="1"/>
    <col min="524" max="524" width="11.5703125" bestFit="1" customWidth="1"/>
    <col min="525" max="525" width="13.28515625" customWidth="1"/>
    <col min="526" max="526" width="26.42578125" bestFit="1" customWidth="1"/>
    <col min="527" max="527" width="9.42578125" bestFit="1" customWidth="1"/>
    <col min="528" max="533" width="8.42578125" bestFit="1" customWidth="1"/>
    <col min="534" max="535" width="11.5703125" bestFit="1" customWidth="1"/>
    <col min="771" max="771" width="30.5703125" customWidth="1"/>
    <col min="772" max="772" width="7.5703125" bestFit="1" customWidth="1"/>
    <col min="773" max="773" width="8.28515625" bestFit="1" customWidth="1"/>
    <col min="774" max="774" width="9.7109375" bestFit="1" customWidth="1"/>
    <col min="775" max="775" width="8.42578125" customWidth="1"/>
    <col min="776" max="777" width="9.7109375" bestFit="1" customWidth="1"/>
    <col min="778" max="778" width="11.140625" bestFit="1" customWidth="1"/>
    <col min="779" max="779" width="9.85546875" bestFit="1" customWidth="1"/>
    <col min="780" max="780" width="11.5703125" bestFit="1" customWidth="1"/>
    <col min="781" max="781" width="13.28515625" customWidth="1"/>
    <col min="782" max="782" width="26.42578125" bestFit="1" customWidth="1"/>
    <col min="783" max="783" width="9.42578125" bestFit="1" customWidth="1"/>
    <col min="784" max="789" width="8.42578125" bestFit="1" customWidth="1"/>
    <col min="790" max="791" width="11.5703125" bestFit="1" customWidth="1"/>
    <col min="1027" max="1027" width="30.5703125" customWidth="1"/>
    <col min="1028" max="1028" width="7.5703125" bestFit="1" customWidth="1"/>
    <col min="1029" max="1029" width="8.28515625" bestFit="1" customWidth="1"/>
    <col min="1030" max="1030" width="9.7109375" bestFit="1" customWidth="1"/>
    <col min="1031" max="1031" width="8.42578125" customWidth="1"/>
    <col min="1032" max="1033" width="9.7109375" bestFit="1" customWidth="1"/>
    <col min="1034" max="1034" width="11.140625" bestFit="1" customWidth="1"/>
    <col min="1035" max="1035" width="9.85546875" bestFit="1" customWidth="1"/>
    <col min="1036" max="1036" width="11.5703125" bestFit="1" customWidth="1"/>
    <col min="1037" max="1037" width="13.28515625" customWidth="1"/>
    <col min="1038" max="1038" width="26.42578125" bestFit="1" customWidth="1"/>
    <col min="1039" max="1039" width="9.42578125" bestFit="1" customWidth="1"/>
    <col min="1040" max="1045" width="8.42578125" bestFit="1" customWidth="1"/>
    <col min="1046" max="1047" width="11.5703125" bestFit="1" customWidth="1"/>
    <col min="1283" max="1283" width="30.5703125" customWidth="1"/>
    <col min="1284" max="1284" width="7.5703125" bestFit="1" customWidth="1"/>
    <col min="1285" max="1285" width="8.28515625" bestFit="1" customWidth="1"/>
    <col min="1286" max="1286" width="9.7109375" bestFit="1" customWidth="1"/>
    <col min="1287" max="1287" width="8.42578125" customWidth="1"/>
    <col min="1288" max="1289" width="9.7109375" bestFit="1" customWidth="1"/>
    <col min="1290" max="1290" width="11.140625" bestFit="1" customWidth="1"/>
    <col min="1291" max="1291" width="9.85546875" bestFit="1" customWidth="1"/>
    <col min="1292" max="1292" width="11.5703125" bestFit="1" customWidth="1"/>
    <col min="1293" max="1293" width="13.28515625" customWidth="1"/>
    <col min="1294" max="1294" width="26.42578125" bestFit="1" customWidth="1"/>
    <col min="1295" max="1295" width="9.42578125" bestFit="1" customWidth="1"/>
    <col min="1296" max="1301" width="8.42578125" bestFit="1" customWidth="1"/>
    <col min="1302" max="1303" width="11.5703125" bestFit="1" customWidth="1"/>
    <col min="1539" max="1539" width="30.5703125" customWidth="1"/>
    <col min="1540" max="1540" width="7.5703125" bestFit="1" customWidth="1"/>
    <col min="1541" max="1541" width="8.28515625" bestFit="1" customWidth="1"/>
    <col min="1542" max="1542" width="9.7109375" bestFit="1" customWidth="1"/>
    <col min="1543" max="1543" width="8.42578125" customWidth="1"/>
    <col min="1544" max="1545" width="9.7109375" bestFit="1" customWidth="1"/>
    <col min="1546" max="1546" width="11.140625" bestFit="1" customWidth="1"/>
    <col min="1547" max="1547" width="9.85546875" bestFit="1" customWidth="1"/>
    <col min="1548" max="1548" width="11.5703125" bestFit="1" customWidth="1"/>
    <col min="1549" max="1549" width="13.28515625" customWidth="1"/>
    <col min="1550" max="1550" width="26.42578125" bestFit="1" customWidth="1"/>
    <col min="1551" max="1551" width="9.42578125" bestFit="1" customWidth="1"/>
    <col min="1552" max="1557" width="8.42578125" bestFit="1" customWidth="1"/>
    <col min="1558" max="1559" width="11.5703125" bestFit="1" customWidth="1"/>
    <col min="1795" max="1795" width="30.5703125" customWidth="1"/>
    <col min="1796" max="1796" width="7.5703125" bestFit="1" customWidth="1"/>
    <col min="1797" max="1797" width="8.28515625" bestFit="1" customWidth="1"/>
    <col min="1798" max="1798" width="9.7109375" bestFit="1" customWidth="1"/>
    <col min="1799" max="1799" width="8.42578125" customWidth="1"/>
    <col min="1800" max="1801" width="9.7109375" bestFit="1" customWidth="1"/>
    <col min="1802" max="1802" width="11.140625" bestFit="1" customWidth="1"/>
    <col min="1803" max="1803" width="9.85546875" bestFit="1" customWidth="1"/>
    <col min="1804" max="1804" width="11.5703125" bestFit="1" customWidth="1"/>
    <col min="1805" max="1805" width="13.28515625" customWidth="1"/>
    <col min="1806" max="1806" width="26.42578125" bestFit="1" customWidth="1"/>
    <col min="1807" max="1807" width="9.42578125" bestFit="1" customWidth="1"/>
    <col min="1808" max="1813" width="8.42578125" bestFit="1" customWidth="1"/>
    <col min="1814" max="1815" width="11.5703125" bestFit="1" customWidth="1"/>
    <col min="2051" max="2051" width="30.5703125" customWidth="1"/>
    <col min="2052" max="2052" width="7.5703125" bestFit="1" customWidth="1"/>
    <col min="2053" max="2053" width="8.28515625" bestFit="1" customWidth="1"/>
    <col min="2054" max="2054" width="9.7109375" bestFit="1" customWidth="1"/>
    <col min="2055" max="2055" width="8.42578125" customWidth="1"/>
    <col min="2056" max="2057" width="9.7109375" bestFit="1" customWidth="1"/>
    <col min="2058" max="2058" width="11.140625" bestFit="1" customWidth="1"/>
    <col min="2059" max="2059" width="9.85546875" bestFit="1" customWidth="1"/>
    <col min="2060" max="2060" width="11.5703125" bestFit="1" customWidth="1"/>
    <col min="2061" max="2061" width="13.28515625" customWidth="1"/>
    <col min="2062" max="2062" width="26.42578125" bestFit="1" customWidth="1"/>
    <col min="2063" max="2063" width="9.42578125" bestFit="1" customWidth="1"/>
    <col min="2064" max="2069" width="8.42578125" bestFit="1" customWidth="1"/>
    <col min="2070" max="2071" width="11.5703125" bestFit="1" customWidth="1"/>
    <col min="2307" max="2307" width="30.5703125" customWidth="1"/>
    <col min="2308" max="2308" width="7.5703125" bestFit="1" customWidth="1"/>
    <col min="2309" max="2309" width="8.28515625" bestFit="1" customWidth="1"/>
    <col min="2310" max="2310" width="9.7109375" bestFit="1" customWidth="1"/>
    <col min="2311" max="2311" width="8.42578125" customWidth="1"/>
    <col min="2312" max="2313" width="9.7109375" bestFit="1" customWidth="1"/>
    <col min="2314" max="2314" width="11.140625" bestFit="1" customWidth="1"/>
    <col min="2315" max="2315" width="9.85546875" bestFit="1" customWidth="1"/>
    <col min="2316" max="2316" width="11.5703125" bestFit="1" customWidth="1"/>
    <col min="2317" max="2317" width="13.28515625" customWidth="1"/>
    <col min="2318" max="2318" width="26.42578125" bestFit="1" customWidth="1"/>
    <col min="2319" max="2319" width="9.42578125" bestFit="1" customWidth="1"/>
    <col min="2320" max="2325" width="8.42578125" bestFit="1" customWidth="1"/>
    <col min="2326" max="2327" width="11.5703125" bestFit="1" customWidth="1"/>
    <col min="2563" max="2563" width="30.5703125" customWidth="1"/>
    <col min="2564" max="2564" width="7.5703125" bestFit="1" customWidth="1"/>
    <col min="2565" max="2565" width="8.28515625" bestFit="1" customWidth="1"/>
    <col min="2566" max="2566" width="9.7109375" bestFit="1" customWidth="1"/>
    <col min="2567" max="2567" width="8.42578125" customWidth="1"/>
    <col min="2568" max="2569" width="9.7109375" bestFit="1" customWidth="1"/>
    <col min="2570" max="2570" width="11.140625" bestFit="1" customWidth="1"/>
    <col min="2571" max="2571" width="9.85546875" bestFit="1" customWidth="1"/>
    <col min="2572" max="2572" width="11.5703125" bestFit="1" customWidth="1"/>
    <col min="2573" max="2573" width="13.28515625" customWidth="1"/>
    <col min="2574" max="2574" width="26.42578125" bestFit="1" customWidth="1"/>
    <col min="2575" max="2575" width="9.42578125" bestFit="1" customWidth="1"/>
    <col min="2576" max="2581" width="8.42578125" bestFit="1" customWidth="1"/>
    <col min="2582" max="2583" width="11.5703125" bestFit="1" customWidth="1"/>
    <col min="2819" max="2819" width="30.5703125" customWidth="1"/>
    <col min="2820" max="2820" width="7.5703125" bestFit="1" customWidth="1"/>
    <col min="2821" max="2821" width="8.28515625" bestFit="1" customWidth="1"/>
    <col min="2822" max="2822" width="9.7109375" bestFit="1" customWidth="1"/>
    <col min="2823" max="2823" width="8.42578125" customWidth="1"/>
    <col min="2824" max="2825" width="9.7109375" bestFit="1" customWidth="1"/>
    <col min="2826" max="2826" width="11.140625" bestFit="1" customWidth="1"/>
    <col min="2827" max="2827" width="9.85546875" bestFit="1" customWidth="1"/>
    <col min="2828" max="2828" width="11.5703125" bestFit="1" customWidth="1"/>
    <col min="2829" max="2829" width="13.28515625" customWidth="1"/>
    <col min="2830" max="2830" width="26.42578125" bestFit="1" customWidth="1"/>
    <col min="2831" max="2831" width="9.42578125" bestFit="1" customWidth="1"/>
    <col min="2832" max="2837" width="8.42578125" bestFit="1" customWidth="1"/>
    <col min="2838" max="2839" width="11.5703125" bestFit="1" customWidth="1"/>
    <col min="3075" max="3075" width="30.5703125" customWidth="1"/>
    <col min="3076" max="3076" width="7.5703125" bestFit="1" customWidth="1"/>
    <col min="3077" max="3077" width="8.28515625" bestFit="1" customWidth="1"/>
    <col min="3078" max="3078" width="9.7109375" bestFit="1" customWidth="1"/>
    <col min="3079" max="3079" width="8.42578125" customWidth="1"/>
    <col min="3080" max="3081" width="9.7109375" bestFit="1" customWidth="1"/>
    <col min="3082" max="3082" width="11.140625" bestFit="1" customWidth="1"/>
    <col min="3083" max="3083" width="9.85546875" bestFit="1" customWidth="1"/>
    <col min="3084" max="3084" width="11.5703125" bestFit="1" customWidth="1"/>
    <col min="3085" max="3085" width="13.28515625" customWidth="1"/>
    <col min="3086" max="3086" width="26.42578125" bestFit="1" customWidth="1"/>
    <col min="3087" max="3087" width="9.42578125" bestFit="1" customWidth="1"/>
    <col min="3088" max="3093" width="8.42578125" bestFit="1" customWidth="1"/>
    <col min="3094" max="3095" width="11.5703125" bestFit="1" customWidth="1"/>
    <col min="3331" max="3331" width="30.5703125" customWidth="1"/>
    <col min="3332" max="3332" width="7.5703125" bestFit="1" customWidth="1"/>
    <col min="3333" max="3333" width="8.28515625" bestFit="1" customWidth="1"/>
    <col min="3334" max="3334" width="9.7109375" bestFit="1" customWidth="1"/>
    <col min="3335" max="3335" width="8.42578125" customWidth="1"/>
    <col min="3336" max="3337" width="9.7109375" bestFit="1" customWidth="1"/>
    <col min="3338" max="3338" width="11.140625" bestFit="1" customWidth="1"/>
    <col min="3339" max="3339" width="9.85546875" bestFit="1" customWidth="1"/>
    <col min="3340" max="3340" width="11.5703125" bestFit="1" customWidth="1"/>
    <col min="3341" max="3341" width="13.28515625" customWidth="1"/>
    <col min="3342" max="3342" width="26.42578125" bestFit="1" customWidth="1"/>
    <col min="3343" max="3343" width="9.42578125" bestFit="1" customWidth="1"/>
    <col min="3344" max="3349" width="8.42578125" bestFit="1" customWidth="1"/>
    <col min="3350" max="3351" width="11.5703125" bestFit="1" customWidth="1"/>
    <col min="3587" max="3587" width="30.5703125" customWidth="1"/>
    <col min="3588" max="3588" width="7.5703125" bestFit="1" customWidth="1"/>
    <col min="3589" max="3589" width="8.28515625" bestFit="1" customWidth="1"/>
    <col min="3590" max="3590" width="9.7109375" bestFit="1" customWidth="1"/>
    <col min="3591" max="3591" width="8.42578125" customWidth="1"/>
    <col min="3592" max="3593" width="9.7109375" bestFit="1" customWidth="1"/>
    <col min="3594" max="3594" width="11.140625" bestFit="1" customWidth="1"/>
    <col min="3595" max="3595" width="9.85546875" bestFit="1" customWidth="1"/>
    <col min="3596" max="3596" width="11.5703125" bestFit="1" customWidth="1"/>
    <col min="3597" max="3597" width="13.28515625" customWidth="1"/>
    <col min="3598" max="3598" width="26.42578125" bestFit="1" customWidth="1"/>
    <col min="3599" max="3599" width="9.42578125" bestFit="1" customWidth="1"/>
    <col min="3600" max="3605" width="8.42578125" bestFit="1" customWidth="1"/>
    <col min="3606" max="3607" width="11.5703125" bestFit="1" customWidth="1"/>
    <col min="3843" max="3843" width="30.5703125" customWidth="1"/>
    <col min="3844" max="3844" width="7.5703125" bestFit="1" customWidth="1"/>
    <col min="3845" max="3845" width="8.28515625" bestFit="1" customWidth="1"/>
    <col min="3846" max="3846" width="9.7109375" bestFit="1" customWidth="1"/>
    <col min="3847" max="3847" width="8.42578125" customWidth="1"/>
    <col min="3848" max="3849" width="9.7109375" bestFit="1" customWidth="1"/>
    <col min="3850" max="3850" width="11.140625" bestFit="1" customWidth="1"/>
    <col min="3851" max="3851" width="9.85546875" bestFit="1" customWidth="1"/>
    <col min="3852" max="3852" width="11.5703125" bestFit="1" customWidth="1"/>
    <col min="3853" max="3853" width="13.28515625" customWidth="1"/>
    <col min="3854" max="3854" width="26.42578125" bestFit="1" customWidth="1"/>
    <col min="3855" max="3855" width="9.42578125" bestFit="1" customWidth="1"/>
    <col min="3856" max="3861" width="8.42578125" bestFit="1" customWidth="1"/>
    <col min="3862" max="3863" width="11.5703125" bestFit="1" customWidth="1"/>
    <col min="4099" max="4099" width="30.5703125" customWidth="1"/>
    <col min="4100" max="4100" width="7.5703125" bestFit="1" customWidth="1"/>
    <col min="4101" max="4101" width="8.28515625" bestFit="1" customWidth="1"/>
    <col min="4102" max="4102" width="9.7109375" bestFit="1" customWidth="1"/>
    <col min="4103" max="4103" width="8.42578125" customWidth="1"/>
    <col min="4104" max="4105" width="9.7109375" bestFit="1" customWidth="1"/>
    <col min="4106" max="4106" width="11.140625" bestFit="1" customWidth="1"/>
    <col min="4107" max="4107" width="9.85546875" bestFit="1" customWidth="1"/>
    <col min="4108" max="4108" width="11.5703125" bestFit="1" customWidth="1"/>
    <col min="4109" max="4109" width="13.28515625" customWidth="1"/>
    <col min="4110" max="4110" width="26.42578125" bestFit="1" customWidth="1"/>
    <col min="4111" max="4111" width="9.42578125" bestFit="1" customWidth="1"/>
    <col min="4112" max="4117" width="8.42578125" bestFit="1" customWidth="1"/>
    <col min="4118" max="4119" width="11.5703125" bestFit="1" customWidth="1"/>
    <col min="4355" max="4355" width="30.5703125" customWidth="1"/>
    <col min="4356" max="4356" width="7.5703125" bestFit="1" customWidth="1"/>
    <col min="4357" max="4357" width="8.28515625" bestFit="1" customWidth="1"/>
    <col min="4358" max="4358" width="9.7109375" bestFit="1" customWidth="1"/>
    <col min="4359" max="4359" width="8.42578125" customWidth="1"/>
    <col min="4360" max="4361" width="9.7109375" bestFit="1" customWidth="1"/>
    <col min="4362" max="4362" width="11.140625" bestFit="1" customWidth="1"/>
    <col min="4363" max="4363" width="9.85546875" bestFit="1" customWidth="1"/>
    <col min="4364" max="4364" width="11.5703125" bestFit="1" customWidth="1"/>
    <col min="4365" max="4365" width="13.28515625" customWidth="1"/>
    <col min="4366" max="4366" width="26.42578125" bestFit="1" customWidth="1"/>
    <col min="4367" max="4367" width="9.42578125" bestFit="1" customWidth="1"/>
    <col min="4368" max="4373" width="8.42578125" bestFit="1" customWidth="1"/>
    <col min="4374" max="4375" width="11.5703125" bestFit="1" customWidth="1"/>
    <col min="4611" max="4611" width="30.5703125" customWidth="1"/>
    <col min="4612" max="4612" width="7.5703125" bestFit="1" customWidth="1"/>
    <col min="4613" max="4613" width="8.28515625" bestFit="1" customWidth="1"/>
    <col min="4614" max="4614" width="9.7109375" bestFit="1" customWidth="1"/>
    <col min="4615" max="4615" width="8.42578125" customWidth="1"/>
    <col min="4616" max="4617" width="9.7109375" bestFit="1" customWidth="1"/>
    <col min="4618" max="4618" width="11.140625" bestFit="1" customWidth="1"/>
    <col min="4619" max="4619" width="9.85546875" bestFit="1" customWidth="1"/>
    <col min="4620" max="4620" width="11.5703125" bestFit="1" customWidth="1"/>
    <col min="4621" max="4621" width="13.28515625" customWidth="1"/>
    <col min="4622" max="4622" width="26.42578125" bestFit="1" customWidth="1"/>
    <col min="4623" max="4623" width="9.42578125" bestFit="1" customWidth="1"/>
    <col min="4624" max="4629" width="8.42578125" bestFit="1" customWidth="1"/>
    <col min="4630" max="4631" width="11.5703125" bestFit="1" customWidth="1"/>
    <col min="4867" max="4867" width="30.5703125" customWidth="1"/>
    <col min="4868" max="4868" width="7.5703125" bestFit="1" customWidth="1"/>
    <col min="4869" max="4869" width="8.28515625" bestFit="1" customWidth="1"/>
    <col min="4870" max="4870" width="9.7109375" bestFit="1" customWidth="1"/>
    <col min="4871" max="4871" width="8.42578125" customWidth="1"/>
    <col min="4872" max="4873" width="9.7109375" bestFit="1" customWidth="1"/>
    <col min="4874" max="4874" width="11.140625" bestFit="1" customWidth="1"/>
    <col min="4875" max="4875" width="9.85546875" bestFit="1" customWidth="1"/>
    <col min="4876" max="4876" width="11.5703125" bestFit="1" customWidth="1"/>
    <col min="4877" max="4877" width="13.28515625" customWidth="1"/>
    <col min="4878" max="4878" width="26.42578125" bestFit="1" customWidth="1"/>
    <col min="4879" max="4879" width="9.42578125" bestFit="1" customWidth="1"/>
    <col min="4880" max="4885" width="8.42578125" bestFit="1" customWidth="1"/>
    <col min="4886" max="4887" width="11.5703125" bestFit="1" customWidth="1"/>
    <col min="5123" max="5123" width="30.5703125" customWidth="1"/>
    <col min="5124" max="5124" width="7.5703125" bestFit="1" customWidth="1"/>
    <col min="5125" max="5125" width="8.28515625" bestFit="1" customWidth="1"/>
    <col min="5126" max="5126" width="9.7109375" bestFit="1" customWidth="1"/>
    <col min="5127" max="5127" width="8.42578125" customWidth="1"/>
    <col min="5128" max="5129" width="9.7109375" bestFit="1" customWidth="1"/>
    <col min="5130" max="5130" width="11.140625" bestFit="1" customWidth="1"/>
    <col min="5131" max="5131" width="9.85546875" bestFit="1" customWidth="1"/>
    <col min="5132" max="5132" width="11.5703125" bestFit="1" customWidth="1"/>
    <col min="5133" max="5133" width="13.28515625" customWidth="1"/>
    <col min="5134" max="5134" width="26.42578125" bestFit="1" customWidth="1"/>
    <col min="5135" max="5135" width="9.42578125" bestFit="1" customWidth="1"/>
    <col min="5136" max="5141" width="8.42578125" bestFit="1" customWidth="1"/>
    <col min="5142" max="5143" width="11.5703125" bestFit="1" customWidth="1"/>
    <col min="5379" max="5379" width="30.5703125" customWidth="1"/>
    <col min="5380" max="5380" width="7.5703125" bestFit="1" customWidth="1"/>
    <col min="5381" max="5381" width="8.28515625" bestFit="1" customWidth="1"/>
    <col min="5382" max="5382" width="9.7109375" bestFit="1" customWidth="1"/>
    <col min="5383" max="5383" width="8.42578125" customWidth="1"/>
    <col min="5384" max="5385" width="9.7109375" bestFit="1" customWidth="1"/>
    <col min="5386" max="5386" width="11.140625" bestFit="1" customWidth="1"/>
    <col min="5387" max="5387" width="9.85546875" bestFit="1" customWidth="1"/>
    <col min="5388" max="5388" width="11.5703125" bestFit="1" customWidth="1"/>
    <col min="5389" max="5389" width="13.28515625" customWidth="1"/>
    <col min="5390" max="5390" width="26.42578125" bestFit="1" customWidth="1"/>
    <col min="5391" max="5391" width="9.42578125" bestFit="1" customWidth="1"/>
    <col min="5392" max="5397" width="8.42578125" bestFit="1" customWidth="1"/>
    <col min="5398" max="5399" width="11.5703125" bestFit="1" customWidth="1"/>
    <col min="5635" max="5635" width="30.5703125" customWidth="1"/>
    <col min="5636" max="5636" width="7.5703125" bestFit="1" customWidth="1"/>
    <col min="5637" max="5637" width="8.28515625" bestFit="1" customWidth="1"/>
    <col min="5638" max="5638" width="9.7109375" bestFit="1" customWidth="1"/>
    <col min="5639" max="5639" width="8.42578125" customWidth="1"/>
    <col min="5640" max="5641" width="9.7109375" bestFit="1" customWidth="1"/>
    <col min="5642" max="5642" width="11.140625" bestFit="1" customWidth="1"/>
    <col min="5643" max="5643" width="9.85546875" bestFit="1" customWidth="1"/>
    <col min="5644" max="5644" width="11.5703125" bestFit="1" customWidth="1"/>
    <col min="5645" max="5645" width="13.28515625" customWidth="1"/>
    <col min="5646" max="5646" width="26.42578125" bestFit="1" customWidth="1"/>
    <col min="5647" max="5647" width="9.42578125" bestFit="1" customWidth="1"/>
    <col min="5648" max="5653" width="8.42578125" bestFit="1" customWidth="1"/>
    <col min="5654" max="5655" width="11.5703125" bestFit="1" customWidth="1"/>
    <col min="5891" max="5891" width="30.5703125" customWidth="1"/>
    <col min="5892" max="5892" width="7.5703125" bestFit="1" customWidth="1"/>
    <col min="5893" max="5893" width="8.28515625" bestFit="1" customWidth="1"/>
    <col min="5894" max="5894" width="9.7109375" bestFit="1" customWidth="1"/>
    <col min="5895" max="5895" width="8.42578125" customWidth="1"/>
    <col min="5896" max="5897" width="9.7109375" bestFit="1" customWidth="1"/>
    <col min="5898" max="5898" width="11.140625" bestFit="1" customWidth="1"/>
    <col min="5899" max="5899" width="9.85546875" bestFit="1" customWidth="1"/>
    <col min="5900" max="5900" width="11.5703125" bestFit="1" customWidth="1"/>
    <col min="5901" max="5901" width="13.28515625" customWidth="1"/>
    <col min="5902" max="5902" width="26.42578125" bestFit="1" customWidth="1"/>
    <col min="5903" max="5903" width="9.42578125" bestFit="1" customWidth="1"/>
    <col min="5904" max="5909" width="8.42578125" bestFit="1" customWidth="1"/>
    <col min="5910" max="5911" width="11.5703125" bestFit="1" customWidth="1"/>
    <col min="6147" max="6147" width="30.5703125" customWidth="1"/>
    <col min="6148" max="6148" width="7.5703125" bestFit="1" customWidth="1"/>
    <col min="6149" max="6149" width="8.28515625" bestFit="1" customWidth="1"/>
    <col min="6150" max="6150" width="9.7109375" bestFit="1" customWidth="1"/>
    <col min="6151" max="6151" width="8.42578125" customWidth="1"/>
    <col min="6152" max="6153" width="9.7109375" bestFit="1" customWidth="1"/>
    <col min="6154" max="6154" width="11.140625" bestFit="1" customWidth="1"/>
    <col min="6155" max="6155" width="9.85546875" bestFit="1" customWidth="1"/>
    <col min="6156" max="6156" width="11.5703125" bestFit="1" customWidth="1"/>
    <col min="6157" max="6157" width="13.28515625" customWidth="1"/>
    <col min="6158" max="6158" width="26.42578125" bestFit="1" customWidth="1"/>
    <col min="6159" max="6159" width="9.42578125" bestFit="1" customWidth="1"/>
    <col min="6160" max="6165" width="8.42578125" bestFit="1" customWidth="1"/>
    <col min="6166" max="6167" width="11.5703125" bestFit="1" customWidth="1"/>
    <col min="6403" max="6403" width="30.5703125" customWidth="1"/>
    <col min="6404" max="6404" width="7.5703125" bestFit="1" customWidth="1"/>
    <col min="6405" max="6405" width="8.28515625" bestFit="1" customWidth="1"/>
    <col min="6406" max="6406" width="9.7109375" bestFit="1" customWidth="1"/>
    <col min="6407" max="6407" width="8.42578125" customWidth="1"/>
    <col min="6408" max="6409" width="9.7109375" bestFit="1" customWidth="1"/>
    <col min="6410" max="6410" width="11.140625" bestFit="1" customWidth="1"/>
    <col min="6411" max="6411" width="9.85546875" bestFit="1" customWidth="1"/>
    <col min="6412" max="6412" width="11.5703125" bestFit="1" customWidth="1"/>
    <col min="6413" max="6413" width="13.28515625" customWidth="1"/>
    <col min="6414" max="6414" width="26.42578125" bestFit="1" customWidth="1"/>
    <col min="6415" max="6415" width="9.42578125" bestFit="1" customWidth="1"/>
    <col min="6416" max="6421" width="8.42578125" bestFit="1" customWidth="1"/>
    <col min="6422" max="6423" width="11.5703125" bestFit="1" customWidth="1"/>
    <col min="6659" max="6659" width="30.5703125" customWidth="1"/>
    <col min="6660" max="6660" width="7.5703125" bestFit="1" customWidth="1"/>
    <col min="6661" max="6661" width="8.28515625" bestFit="1" customWidth="1"/>
    <col min="6662" max="6662" width="9.7109375" bestFit="1" customWidth="1"/>
    <col min="6663" max="6663" width="8.42578125" customWidth="1"/>
    <col min="6664" max="6665" width="9.7109375" bestFit="1" customWidth="1"/>
    <col min="6666" max="6666" width="11.140625" bestFit="1" customWidth="1"/>
    <col min="6667" max="6667" width="9.85546875" bestFit="1" customWidth="1"/>
    <col min="6668" max="6668" width="11.5703125" bestFit="1" customWidth="1"/>
    <col min="6669" max="6669" width="13.28515625" customWidth="1"/>
    <col min="6670" max="6670" width="26.42578125" bestFit="1" customWidth="1"/>
    <col min="6671" max="6671" width="9.42578125" bestFit="1" customWidth="1"/>
    <col min="6672" max="6677" width="8.42578125" bestFit="1" customWidth="1"/>
    <col min="6678" max="6679" width="11.5703125" bestFit="1" customWidth="1"/>
    <col min="6915" max="6915" width="30.5703125" customWidth="1"/>
    <col min="6916" max="6916" width="7.5703125" bestFit="1" customWidth="1"/>
    <col min="6917" max="6917" width="8.28515625" bestFit="1" customWidth="1"/>
    <col min="6918" max="6918" width="9.7109375" bestFit="1" customWidth="1"/>
    <col min="6919" max="6919" width="8.42578125" customWidth="1"/>
    <col min="6920" max="6921" width="9.7109375" bestFit="1" customWidth="1"/>
    <col min="6922" max="6922" width="11.140625" bestFit="1" customWidth="1"/>
    <col min="6923" max="6923" width="9.85546875" bestFit="1" customWidth="1"/>
    <col min="6924" max="6924" width="11.5703125" bestFit="1" customWidth="1"/>
    <col min="6925" max="6925" width="13.28515625" customWidth="1"/>
    <col min="6926" max="6926" width="26.42578125" bestFit="1" customWidth="1"/>
    <col min="6927" max="6927" width="9.42578125" bestFit="1" customWidth="1"/>
    <col min="6928" max="6933" width="8.42578125" bestFit="1" customWidth="1"/>
    <col min="6934" max="6935" width="11.5703125" bestFit="1" customWidth="1"/>
    <col min="7171" max="7171" width="30.5703125" customWidth="1"/>
    <col min="7172" max="7172" width="7.5703125" bestFit="1" customWidth="1"/>
    <col min="7173" max="7173" width="8.28515625" bestFit="1" customWidth="1"/>
    <col min="7174" max="7174" width="9.7109375" bestFit="1" customWidth="1"/>
    <col min="7175" max="7175" width="8.42578125" customWidth="1"/>
    <col min="7176" max="7177" width="9.7109375" bestFit="1" customWidth="1"/>
    <col min="7178" max="7178" width="11.140625" bestFit="1" customWidth="1"/>
    <col min="7179" max="7179" width="9.85546875" bestFit="1" customWidth="1"/>
    <col min="7180" max="7180" width="11.5703125" bestFit="1" customWidth="1"/>
    <col min="7181" max="7181" width="13.28515625" customWidth="1"/>
    <col min="7182" max="7182" width="26.42578125" bestFit="1" customWidth="1"/>
    <col min="7183" max="7183" width="9.42578125" bestFit="1" customWidth="1"/>
    <col min="7184" max="7189" width="8.42578125" bestFit="1" customWidth="1"/>
    <col min="7190" max="7191" width="11.5703125" bestFit="1" customWidth="1"/>
    <col min="7427" max="7427" width="30.5703125" customWidth="1"/>
    <col min="7428" max="7428" width="7.5703125" bestFit="1" customWidth="1"/>
    <col min="7429" max="7429" width="8.28515625" bestFit="1" customWidth="1"/>
    <col min="7430" max="7430" width="9.7109375" bestFit="1" customWidth="1"/>
    <col min="7431" max="7431" width="8.42578125" customWidth="1"/>
    <col min="7432" max="7433" width="9.7109375" bestFit="1" customWidth="1"/>
    <col min="7434" max="7434" width="11.140625" bestFit="1" customWidth="1"/>
    <col min="7435" max="7435" width="9.85546875" bestFit="1" customWidth="1"/>
    <col min="7436" max="7436" width="11.5703125" bestFit="1" customWidth="1"/>
    <col min="7437" max="7437" width="13.28515625" customWidth="1"/>
    <col min="7438" max="7438" width="26.42578125" bestFit="1" customWidth="1"/>
    <col min="7439" max="7439" width="9.42578125" bestFit="1" customWidth="1"/>
    <col min="7440" max="7445" width="8.42578125" bestFit="1" customWidth="1"/>
    <col min="7446" max="7447" width="11.5703125" bestFit="1" customWidth="1"/>
    <col min="7683" max="7683" width="30.5703125" customWidth="1"/>
    <col min="7684" max="7684" width="7.5703125" bestFit="1" customWidth="1"/>
    <col min="7685" max="7685" width="8.28515625" bestFit="1" customWidth="1"/>
    <col min="7686" max="7686" width="9.7109375" bestFit="1" customWidth="1"/>
    <col min="7687" max="7687" width="8.42578125" customWidth="1"/>
    <col min="7688" max="7689" width="9.7109375" bestFit="1" customWidth="1"/>
    <col min="7690" max="7690" width="11.140625" bestFit="1" customWidth="1"/>
    <col min="7691" max="7691" width="9.85546875" bestFit="1" customWidth="1"/>
    <col min="7692" max="7692" width="11.5703125" bestFit="1" customWidth="1"/>
    <col min="7693" max="7693" width="13.28515625" customWidth="1"/>
    <col min="7694" max="7694" width="26.42578125" bestFit="1" customWidth="1"/>
    <col min="7695" max="7695" width="9.42578125" bestFit="1" customWidth="1"/>
    <col min="7696" max="7701" width="8.42578125" bestFit="1" customWidth="1"/>
    <col min="7702" max="7703" width="11.5703125" bestFit="1" customWidth="1"/>
    <col min="7939" max="7939" width="30.5703125" customWidth="1"/>
    <col min="7940" max="7940" width="7.5703125" bestFit="1" customWidth="1"/>
    <col min="7941" max="7941" width="8.28515625" bestFit="1" customWidth="1"/>
    <col min="7942" max="7942" width="9.7109375" bestFit="1" customWidth="1"/>
    <col min="7943" max="7943" width="8.42578125" customWidth="1"/>
    <col min="7944" max="7945" width="9.7109375" bestFit="1" customWidth="1"/>
    <col min="7946" max="7946" width="11.140625" bestFit="1" customWidth="1"/>
    <col min="7947" max="7947" width="9.85546875" bestFit="1" customWidth="1"/>
    <col min="7948" max="7948" width="11.5703125" bestFit="1" customWidth="1"/>
    <col min="7949" max="7949" width="13.28515625" customWidth="1"/>
    <col min="7950" max="7950" width="26.42578125" bestFit="1" customWidth="1"/>
    <col min="7951" max="7951" width="9.42578125" bestFit="1" customWidth="1"/>
    <col min="7952" max="7957" width="8.42578125" bestFit="1" customWidth="1"/>
    <col min="7958" max="7959" width="11.5703125" bestFit="1" customWidth="1"/>
    <col min="8195" max="8195" width="30.5703125" customWidth="1"/>
    <col min="8196" max="8196" width="7.5703125" bestFit="1" customWidth="1"/>
    <col min="8197" max="8197" width="8.28515625" bestFit="1" customWidth="1"/>
    <col min="8198" max="8198" width="9.7109375" bestFit="1" customWidth="1"/>
    <col min="8199" max="8199" width="8.42578125" customWidth="1"/>
    <col min="8200" max="8201" width="9.7109375" bestFit="1" customWidth="1"/>
    <col min="8202" max="8202" width="11.140625" bestFit="1" customWidth="1"/>
    <col min="8203" max="8203" width="9.85546875" bestFit="1" customWidth="1"/>
    <col min="8204" max="8204" width="11.5703125" bestFit="1" customWidth="1"/>
    <col min="8205" max="8205" width="13.28515625" customWidth="1"/>
    <col min="8206" max="8206" width="26.42578125" bestFit="1" customWidth="1"/>
    <col min="8207" max="8207" width="9.42578125" bestFit="1" customWidth="1"/>
    <col min="8208" max="8213" width="8.42578125" bestFit="1" customWidth="1"/>
    <col min="8214" max="8215" width="11.5703125" bestFit="1" customWidth="1"/>
    <col min="8451" max="8451" width="30.5703125" customWidth="1"/>
    <col min="8452" max="8452" width="7.5703125" bestFit="1" customWidth="1"/>
    <col min="8453" max="8453" width="8.28515625" bestFit="1" customWidth="1"/>
    <col min="8454" max="8454" width="9.7109375" bestFit="1" customWidth="1"/>
    <col min="8455" max="8455" width="8.42578125" customWidth="1"/>
    <col min="8456" max="8457" width="9.7109375" bestFit="1" customWidth="1"/>
    <col min="8458" max="8458" width="11.140625" bestFit="1" customWidth="1"/>
    <col min="8459" max="8459" width="9.85546875" bestFit="1" customWidth="1"/>
    <col min="8460" max="8460" width="11.5703125" bestFit="1" customWidth="1"/>
    <col min="8461" max="8461" width="13.28515625" customWidth="1"/>
    <col min="8462" max="8462" width="26.42578125" bestFit="1" customWidth="1"/>
    <col min="8463" max="8463" width="9.42578125" bestFit="1" customWidth="1"/>
    <col min="8464" max="8469" width="8.42578125" bestFit="1" customWidth="1"/>
    <col min="8470" max="8471" width="11.5703125" bestFit="1" customWidth="1"/>
    <col min="8707" max="8707" width="30.5703125" customWidth="1"/>
    <col min="8708" max="8708" width="7.5703125" bestFit="1" customWidth="1"/>
    <col min="8709" max="8709" width="8.28515625" bestFit="1" customWidth="1"/>
    <col min="8710" max="8710" width="9.7109375" bestFit="1" customWidth="1"/>
    <col min="8711" max="8711" width="8.42578125" customWidth="1"/>
    <col min="8712" max="8713" width="9.7109375" bestFit="1" customWidth="1"/>
    <col min="8714" max="8714" width="11.140625" bestFit="1" customWidth="1"/>
    <col min="8715" max="8715" width="9.85546875" bestFit="1" customWidth="1"/>
    <col min="8716" max="8716" width="11.5703125" bestFit="1" customWidth="1"/>
    <col min="8717" max="8717" width="13.28515625" customWidth="1"/>
    <col min="8718" max="8718" width="26.42578125" bestFit="1" customWidth="1"/>
    <col min="8719" max="8719" width="9.42578125" bestFit="1" customWidth="1"/>
    <col min="8720" max="8725" width="8.42578125" bestFit="1" customWidth="1"/>
    <col min="8726" max="8727" width="11.5703125" bestFit="1" customWidth="1"/>
    <col min="8963" max="8963" width="30.5703125" customWidth="1"/>
    <col min="8964" max="8964" width="7.5703125" bestFit="1" customWidth="1"/>
    <col min="8965" max="8965" width="8.28515625" bestFit="1" customWidth="1"/>
    <col min="8966" max="8966" width="9.7109375" bestFit="1" customWidth="1"/>
    <col min="8967" max="8967" width="8.42578125" customWidth="1"/>
    <col min="8968" max="8969" width="9.7109375" bestFit="1" customWidth="1"/>
    <col min="8970" max="8970" width="11.140625" bestFit="1" customWidth="1"/>
    <col min="8971" max="8971" width="9.85546875" bestFit="1" customWidth="1"/>
    <col min="8972" max="8972" width="11.5703125" bestFit="1" customWidth="1"/>
    <col min="8973" max="8973" width="13.28515625" customWidth="1"/>
    <col min="8974" max="8974" width="26.42578125" bestFit="1" customWidth="1"/>
    <col min="8975" max="8975" width="9.42578125" bestFit="1" customWidth="1"/>
    <col min="8976" max="8981" width="8.42578125" bestFit="1" customWidth="1"/>
    <col min="8982" max="8983" width="11.5703125" bestFit="1" customWidth="1"/>
    <col min="9219" max="9219" width="30.5703125" customWidth="1"/>
    <col min="9220" max="9220" width="7.5703125" bestFit="1" customWidth="1"/>
    <col min="9221" max="9221" width="8.28515625" bestFit="1" customWidth="1"/>
    <col min="9222" max="9222" width="9.7109375" bestFit="1" customWidth="1"/>
    <col min="9223" max="9223" width="8.42578125" customWidth="1"/>
    <col min="9224" max="9225" width="9.7109375" bestFit="1" customWidth="1"/>
    <col min="9226" max="9226" width="11.140625" bestFit="1" customWidth="1"/>
    <col min="9227" max="9227" width="9.85546875" bestFit="1" customWidth="1"/>
    <col min="9228" max="9228" width="11.5703125" bestFit="1" customWidth="1"/>
    <col min="9229" max="9229" width="13.28515625" customWidth="1"/>
    <col min="9230" max="9230" width="26.42578125" bestFit="1" customWidth="1"/>
    <col min="9231" max="9231" width="9.42578125" bestFit="1" customWidth="1"/>
    <col min="9232" max="9237" width="8.42578125" bestFit="1" customWidth="1"/>
    <col min="9238" max="9239" width="11.5703125" bestFit="1" customWidth="1"/>
    <col min="9475" max="9475" width="30.5703125" customWidth="1"/>
    <col min="9476" max="9476" width="7.5703125" bestFit="1" customWidth="1"/>
    <col min="9477" max="9477" width="8.28515625" bestFit="1" customWidth="1"/>
    <col min="9478" max="9478" width="9.7109375" bestFit="1" customWidth="1"/>
    <col min="9479" max="9479" width="8.42578125" customWidth="1"/>
    <col min="9480" max="9481" width="9.7109375" bestFit="1" customWidth="1"/>
    <col min="9482" max="9482" width="11.140625" bestFit="1" customWidth="1"/>
    <col min="9483" max="9483" width="9.85546875" bestFit="1" customWidth="1"/>
    <col min="9484" max="9484" width="11.5703125" bestFit="1" customWidth="1"/>
    <col min="9485" max="9485" width="13.28515625" customWidth="1"/>
    <col min="9486" max="9486" width="26.42578125" bestFit="1" customWidth="1"/>
    <col min="9487" max="9487" width="9.42578125" bestFit="1" customWidth="1"/>
    <col min="9488" max="9493" width="8.42578125" bestFit="1" customWidth="1"/>
    <col min="9494" max="9495" width="11.5703125" bestFit="1" customWidth="1"/>
    <col min="9731" max="9731" width="30.5703125" customWidth="1"/>
    <col min="9732" max="9732" width="7.5703125" bestFit="1" customWidth="1"/>
    <col min="9733" max="9733" width="8.28515625" bestFit="1" customWidth="1"/>
    <col min="9734" max="9734" width="9.7109375" bestFit="1" customWidth="1"/>
    <col min="9735" max="9735" width="8.42578125" customWidth="1"/>
    <col min="9736" max="9737" width="9.7109375" bestFit="1" customWidth="1"/>
    <col min="9738" max="9738" width="11.140625" bestFit="1" customWidth="1"/>
    <col min="9739" max="9739" width="9.85546875" bestFit="1" customWidth="1"/>
    <col min="9740" max="9740" width="11.5703125" bestFit="1" customWidth="1"/>
    <col min="9741" max="9741" width="13.28515625" customWidth="1"/>
    <col min="9742" max="9742" width="26.42578125" bestFit="1" customWidth="1"/>
    <col min="9743" max="9743" width="9.42578125" bestFit="1" customWidth="1"/>
    <col min="9744" max="9749" width="8.42578125" bestFit="1" customWidth="1"/>
    <col min="9750" max="9751" width="11.5703125" bestFit="1" customWidth="1"/>
    <col min="9987" max="9987" width="30.5703125" customWidth="1"/>
    <col min="9988" max="9988" width="7.5703125" bestFit="1" customWidth="1"/>
    <col min="9989" max="9989" width="8.28515625" bestFit="1" customWidth="1"/>
    <col min="9990" max="9990" width="9.7109375" bestFit="1" customWidth="1"/>
    <col min="9991" max="9991" width="8.42578125" customWidth="1"/>
    <col min="9992" max="9993" width="9.7109375" bestFit="1" customWidth="1"/>
    <col min="9994" max="9994" width="11.140625" bestFit="1" customWidth="1"/>
    <col min="9995" max="9995" width="9.85546875" bestFit="1" customWidth="1"/>
    <col min="9996" max="9996" width="11.5703125" bestFit="1" customWidth="1"/>
    <col min="9997" max="9997" width="13.28515625" customWidth="1"/>
    <col min="9998" max="9998" width="26.42578125" bestFit="1" customWidth="1"/>
    <col min="9999" max="9999" width="9.42578125" bestFit="1" customWidth="1"/>
    <col min="10000" max="10005" width="8.42578125" bestFit="1" customWidth="1"/>
    <col min="10006" max="10007" width="11.5703125" bestFit="1" customWidth="1"/>
    <col min="10243" max="10243" width="30.5703125" customWidth="1"/>
    <col min="10244" max="10244" width="7.5703125" bestFit="1" customWidth="1"/>
    <col min="10245" max="10245" width="8.28515625" bestFit="1" customWidth="1"/>
    <col min="10246" max="10246" width="9.7109375" bestFit="1" customWidth="1"/>
    <col min="10247" max="10247" width="8.42578125" customWidth="1"/>
    <col min="10248" max="10249" width="9.7109375" bestFit="1" customWidth="1"/>
    <col min="10250" max="10250" width="11.140625" bestFit="1" customWidth="1"/>
    <col min="10251" max="10251" width="9.85546875" bestFit="1" customWidth="1"/>
    <col min="10252" max="10252" width="11.5703125" bestFit="1" customWidth="1"/>
    <col min="10253" max="10253" width="13.28515625" customWidth="1"/>
    <col min="10254" max="10254" width="26.42578125" bestFit="1" customWidth="1"/>
    <col min="10255" max="10255" width="9.42578125" bestFit="1" customWidth="1"/>
    <col min="10256" max="10261" width="8.42578125" bestFit="1" customWidth="1"/>
    <col min="10262" max="10263" width="11.5703125" bestFit="1" customWidth="1"/>
    <col min="10499" max="10499" width="30.5703125" customWidth="1"/>
    <col min="10500" max="10500" width="7.5703125" bestFit="1" customWidth="1"/>
    <col min="10501" max="10501" width="8.28515625" bestFit="1" customWidth="1"/>
    <col min="10502" max="10502" width="9.7109375" bestFit="1" customWidth="1"/>
    <col min="10503" max="10503" width="8.42578125" customWidth="1"/>
    <col min="10504" max="10505" width="9.7109375" bestFit="1" customWidth="1"/>
    <col min="10506" max="10506" width="11.140625" bestFit="1" customWidth="1"/>
    <col min="10507" max="10507" width="9.85546875" bestFit="1" customWidth="1"/>
    <col min="10508" max="10508" width="11.5703125" bestFit="1" customWidth="1"/>
    <col min="10509" max="10509" width="13.28515625" customWidth="1"/>
    <col min="10510" max="10510" width="26.42578125" bestFit="1" customWidth="1"/>
    <col min="10511" max="10511" width="9.42578125" bestFit="1" customWidth="1"/>
    <col min="10512" max="10517" width="8.42578125" bestFit="1" customWidth="1"/>
    <col min="10518" max="10519" width="11.5703125" bestFit="1" customWidth="1"/>
    <col min="10755" max="10755" width="30.5703125" customWidth="1"/>
    <col min="10756" max="10756" width="7.5703125" bestFit="1" customWidth="1"/>
    <col min="10757" max="10757" width="8.28515625" bestFit="1" customWidth="1"/>
    <col min="10758" max="10758" width="9.7109375" bestFit="1" customWidth="1"/>
    <col min="10759" max="10759" width="8.42578125" customWidth="1"/>
    <col min="10760" max="10761" width="9.7109375" bestFit="1" customWidth="1"/>
    <col min="10762" max="10762" width="11.140625" bestFit="1" customWidth="1"/>
    <col min="10763" max="10763" width="9.85546875" bestFit="1" customWidth="1"/>
    <col min="10764" max="10764" width="11.5703125" bestFit="1" customWidth="1"/>
    <col min="10765" max="10765" width="13.28515625" customWidth="1"/>
    <col min="10766" max="10766" width="26.42578125" bestFit="1" customWidth="1"/>
    <col min="10767" max="10767" width="9.42578125" bestFit="1" customWidth="1"/>
    <col min="10768" max="10773" width="8.42578125" bestFit="1" customWidth="1"/>
    <col min="10774" max="10775" width="11.5703125" bestFit="1" customWidth="1"/>
    <col min="11011" max="11011" width="30.5703125" customWidth="1"/>
    <col min="11012" max="11012" width="7.5703125" bestFit="1" customWidth="1"/>
    <col min="11013" max="11013" width="8.28515625" bestFit="1" customWidth="1"/>
    <col min="11014" max="11014" width="9.7109375" bestFit="1" customWidth="1"/>
    <col min="11015" max="11015" width="8.42578125" customWidth="1"/>
    <col min="11016" max="11017" width="9.7109375" bestFit="1" customWidth="1"/>
    <col min="11018" max="11018" width="11.140625" bestFit="1" customWidth="1"/>
    <col min="11019" max="11019" width="9.85546875" bestFit="1" customWidth="1"/>
    <col min="11020" max="11020" width="11.5703125" bestFit="1" customWidth="1"/>
    <col min="11021" max="11021" width="13.28515625" customWidth="1"/>
    <col min="11022" max="11022" width="26.42578125" bestFit="1" customWidth="1"/>
    <col min="11023" max="11023" width="9.42578125" bestFit="1" customWidth="1"/>
    <col min="11024" max="11029" width="8.42578125" bestFit="1" customWidth="1"/>
    <col min="11030" max="11031" width="11.5703125" bestFit="1" customWidth="1"/>
    <col min="11267" max="11267" width="30.5703125" customWidth="1"/>
    <col min="11268" max="11268" width="7.5703125" bestFit="1" customWidth="1"/>
    <col min="11269" max="11269" width="8.28515625" bestFit="1" customWidth="1"/>
    <col min="11270" max="11270" width="9.7109375" bestFit="1" customWidth="1"/>
    <col min="11271" max="11271" width="8.42578125" customWidth="1"/>
    <col min="11272" max="11273" width="9.7109375" bestFit="1" customWidth="1"/>
    <col min="11274" max="11274" width="11.140625" bestFit="1" customWidth="1"/>
    <col min="11275" max="11275" width="9.85546875" bestFit="1" customWidth="1"/>
    <col min="11276" max="11276" width="11.5703125" bestFit="1" customWidth="1"/>
    <col min="11277" max="11277" width="13.28515625" customWidth="1"/>
    <col min="11278" max="11278" width="26.42578125" bestFit="1" customWidth="1"/>
    <col min="11279" max="11279" width="9.42578125" bestFit="1" customWidth="1"/>
    <col min="11280" max="11285" width="8.42578125" bestFit="1" customWidth="1"/>
    <col min="11286" max="11287" width="11.5703125" bestFit="1" customWidth="1"/>
    <col min="11523" max="11523" width="30.5703125" customWidth="1"/>
    <col min="11524" max="11524" width="7.5703125" bestFit="1" customWidth="1"/>
    <col min="11525" max="11525" width="8.28515625" bestFit="1" customWidth="1"/>
    <col min="11526" max="11526" width="9.7109375" bestFit="1" customWidth="1"/>
    <col min="11527" max="11527" width="8.42578125" customWidth="1"/>
    <col min="11528" max="11529" width="9.7109375" bestFit="1" customWidth="1"/>
    <col min="11530" max="11530" width="11.140625" bestFit="1" customWidth="1"/>
    <col min="11531" max="11531" width="9.85546875" bestFit="1" customWidth="1"/>
    <col min="11532" max="11532" width="11.5703125" bestFit="1" customWidth="1"/>
    <col min="11533" max="11533" width="13.28515625" customWidth="1"/>
    <col min="11534" max="11534" width="26.42578125" bestFit="1" customWidth="1"/>
    <col min="11535" max="11535" width="9.42578125" bestFit="1" customWidth="1"/>
    <col min="11536" max="11541" width="8.42578125" bestFit="1" customWidth="1"/>
    <col min="11542" max="11543" width="11.5703125" bestFit="1" customWidth="1"/>
    <col min="11779" max="11779" width="30.5703125" customWidth="1"/>
    <col min="11780" max="11780" width="7.5703125" bestFit="1" customWidth="1"/>
    <col min="11781" max="11781" width="8.28515625" bestFit="1" customWidth="1"/>
    <col min="11782" max="11782" width="9.7109375" bestFit="1" customWidth="1"/>
    <col min="11783" max="11783" width="8.42578125" customWidth="1"/>
    <col min="11784" max="11785" width="9.7109375" bestFit="1" customWidth="1"/>
    <col min="11786" max="11786" width="11.140625" bestFit="1" customWidth="1"/>
    <col min="11787" max="11787" width="9.85546875" bestFit="1" customWidth="1"/>
    <col min="11788" max="11788" width="11.5703125" bestFit="1" customWidth="1"/>
    <col min="11789" max="11789" width="13.28515625" customWidth="1"/>
    <col min="11790" max="11790" width="26.42578125" bestFit="1" customWidth="1"/>
    <col min="11791" max="11791" width="9.42578125" bestFit="1" customWidth="1"/>
    <col min="11792" max="11797" width="8.42578125" bestFit="1" customWidth="1"/>
    <col min="11798" max="11799" width="11.5703125" bestFit="1" customWidth="1"/>
    <col min="12035" max="12035" width="30.5703125" customWidth="1"/>
    <col min="12036" max="12036" width="7.5703125" bestFit="1" customWidth="1"/>
    <col min="12037" max="12037" width="8.28515625" bestFit="1" customWidth="1"/>
    <col min="12038" max="12038" width="9.7109375" bestFit="1" customWidth="1"/>
    <col min="12039" max="12039" width="8.42578125" customWidth="1"/>
    <col min="12040" max="12041" width="9.7109375" bestFit="1" customWidth="1"/>
    <col min="12042" max="12042" width="11.140625" bestFit="1" customWidth="1"/>
    <col min="12043" max="12043" width="9.85546875" bestFit="1" customWidth="1"/>
    <col min="12044" max="12044" width="11.5703125" bestFit="1" customWidth="1"/>
    <col min="12045" max="12045" width="13.28515625" customWidth="1"/>
    <col min="12046" max="12046" width="26.42578125" bestFit="1" customWidth="1"/>
    <col min="12047" max="12047" width="9.42578125" bestFit="1" customWidth="1"/>
    <col min="12048" max="12053" width="8.42578125" bestFit="1" customWidth="1"/>
    <col min="12054" max="12055" width="11.5703125" bestFit="1" customWidth="1"/>
    <col min="12291" max="12291" width="30.5703125" customWidth="1"/>
    <col min="12292" max="12292" width="7.5703125" bestFit="1" customWidth="1"/>
    <col min="12293" max="12293" width="8.28515625" bestFit="1" customWidth="1"/>
    <col min="12294" max="12294" width="9.7109375" bestFit="1" customWidth="1"/>
    <col min="12295" max="12295" width="8.42578125" customWidth="1"/>
    <col min="12296" max="12297" width="9.7109375" bestFit="1" customWidth="1"/>
    <col min="12298" max="12298" width="11.140625" bestFit="1" customWidth="1"/>
    <col min="12299" max="12299" width="9.85546875" bestFit="1" customWidth="1"/>
    <col min="12300" max="12300" width="11.5703125" bestFit="1" customWidth="1"/>
    <col min="12301" max="12301" width="13.28515625" customWidth="1"/>
    <col min="12302" max="12302" width="26.42578125" bestFit="1" customWidth="1"/>
    <col min="12303" max="12303" width="9.42578125" bestFit="1" customWidth="1"/>
    <col min="12304" max="12309" width="8.42578125" bestFit="1" customWidth="1"/>
    <col min="12310" max="12311" width="11.5703125" bestFit="1" customWidth="1"/>
    <col min="12547" max="12547" width="30.5703125" customWidth="1"/>
    <col min="12548" max="12548" width="7.5703125" bestFit="1" customWidth="1"/>
    <col min="12549" max="12549" width="8.28515625" bestFit="1" customWidth="1"/>
    <col min="12550" max="12550" width="9.7109375" bestFit="1" customWidth="1"/>
    <col min="12551" max="12551" width="8.42578125" customWidth="1"/>
    <col min="12552" max="12553" width="9.7109375" bestFit="1" customWidth="1"/>
    <col min="12554" max="12554" width="11.140625" bestFit="1" customWidth="1"/>
    <col min="12555" max="12555" width="9.85546875" bestFit="1" customWidth="1"/>
    <col min="12556" max="12556" width="11.5703125" bestFit="1" customWidth="1"/>
    <col min="12557" max="12557" width="13.28515625" customWidth="1"/>
    <col min="12558" max="12558" width="26.42578125" bestFit="1" customWidth="1"/>
    <col min="12559" max="12559" width="9.42578125" bestFit="1" customWidth="1"/>
    <col min="12560" max="12565" width="8.42578125" bestFit="1" customWidth="1"/>
    <col min="12566" max="12567" width="11.5703125" bestFit="1" customWidth="1"/>
    <col min="12803" max="12803" width="30.5703125" customWidth="1"/>
    <col min="12804" max="12804" width="7.5703125" bestFit="1" customWidth="1"/>
    <col min="12805" max="12805" width="8.28515625" bestFit="1" customWidth="1"/>
    <col min="12806" max="12806" width="9.7109375" bestFit="1" customWidth="1"/>
    <col min="12807" max="12807" width="8.42578125" customWidth="1"/>
    <col min="12808" max="12809" width="9.7109375" bestFit="1" customWidth="1"/>
    <col min="12810" max="12810" width="11.140625" bestFit="1" customWidth="1"/>
    <col min="12811" max="12811" width="9.85546875" bestFit="1" customWidth="1"/>
    <col min="12812" max="12812" width="11.5703125" bestFit="1" customWidth="1"/>
    <col min="12813" max="12813" width="13.28515625" customWidth="1"/>
    <col min="12814" max="12814" width="26.42578125" bestFit="1" customWidth="1"/>
    <col min="12815" max="12815" width="9.42578125" bestFit="1" customWidth="1"/>
    <col min="12816" max="12821" width="8.42578125" bestFit="1" customWidth="1"/>
    <col min="12822" max="12823" width="11.5703125" bestFit="1" customWidth="1"/>
    <col min="13059" max="13059" width="30.5703125" customWidth="1"/>
    <col min="13060" max="13060" width="7.5703125" bestFit="1" customWidth="1"/>
    <col min="13061" max="13061" width="8.28515625" bestFit="1" customWidth="1"/>
    <col min="13062" max="13062" width="9.7109375" bestFit="1" customWidth="1"/>
    <col min="13063" max="13063" width="8.42578125" customWidth="1"/>
    <col min="13064" max="13065" width="9.7109375" bestFit="1" customWidth="1"/>
    <col min="13066" max="13066" width="11.140625" bestFit="1" customWidth="1"/>
    <col min="13067" max="13067" width="9.85546875" bestFit="1" customWidth="1"/>
    <col min="13068" max="13068" width="11.5703125" bestFit="1" customWidth="1"/>
    <col min="13069" max="13069" width="13.28515625" customWidth="1"/>
    <col min="13070" max="13070" width="26.42578125" bestFit="1" customWidth="1"/>
    <col min="13071" max="13071" width="9.42578125" bestFit="1" customWidth="1"/>
    <col min="13072" max="13077" width="8.42578125" bestFit="1" customWidth="1"/>
    <col min="13078" max="13079" width="11.5703125" bestFit="1" customWidth="1"/>
    <col min="13315" max="13315" width="30.5703125" customWidth="1"/>
    <col min="13316" max="13316" width="7.5703125" bestFit="1" customWidth="1"/>
    <col min="13317" max="13317" width="8.28515625" bestFit="1" customWidth="1"/>
    <col min="13318" max="13318" width="9.7109375" bestFit="1" customWidth="1"/>
    <col min="13319" max="13319" width="8.42578125" customWidth="1"/>
    <col min="13320" max="13321" width="9.7109375" bestFit="1" customWidth="1"/>
    <col min="13322" max="13322" width="11.140625" bestFit="1" customWidth="1"/>
    <col min="13323" max="13323" width="9.85546875" bestFit="1" customWidth="1"/>
    <col min="13324" max="13324" width="11.5703125" bestFit="1" customWidth="1"/>
    <col min="13325" max="13325" width="13.28515625" customWidth="1"/>
    <col min="13326" max="13326" width="26.42578125" bestFit="1" customWidth="1"/>
    <col min="13327" max="13327" width="9.42578125" bestFit="1" customWidth="1"/>
    <col min="13328" max="13333" width="8.42578125" bestFit="1" customWidth="1"/>
    <col min="13334" max="13335" width="11.5703125" bestFit="1" customWidth="1"/>
    <col min="13571" max="13571" width="30.5703125" customWidth="1"/>
    <col min="13572" max="13572" width="7.5703125" bestFit="1" customWidth="1"/>
    <col min="13573" max="13573" width="8.28515625" bestFit="1" customWidth="1"/>
    <col min="13574" max="13574" width="9.7109375" bestFit="1" customWidth="1"/>
    <col min="13575" max="13575" width="8.42578125" customWidth="1"/>
    <col min="13576" max="13577" width="9.7109375" bestFit="1" customWidth="1"/>
    <col min="13578" max="13578" width="11.140625" bestFit="1" customWidth="1"/>
    <col min="13579" max="13579" width="9.85546875" bestFit="1" customWidth="1"/>
    <col min="13580" max="13580" width="11.5703125" bestFit="1" customWidth="1"/>
    <col min="13581" max="13581" width="13.28515625" customWidth="1"/>
    <col min="13582" max="13582" width="26.42578125" bestFit="1" customWidth="1"/>
    <col min="13583" max="13583" width="9.42578125" bestFit="1" customWidth="1"/>
    <col min="13584" max="13589" width="8.42578125" bestFit="1" customWidth="1"/>
    <col min="13590" max="13591" width="11.5703125" bestFit="1" customWidth="1"/>
    <col min="13827" max="13827" width="30.5703125" customWidth="1"/>
    <col min="13828" max="13828" width="7.5703125" bestFit="1" customWidth="1"/>
    <col min="13829" max="13829" width="8.28515625" bestFit="1" customWidth="1"/>
    <col min="13830" max="13830" width="9.7109375" bestFit="1" customWidth="1"/>
    <col min="13831" max="13831" width="8.42578125" customWidth="1"/>
    <col min="13832" max="13833" width="9.7109375" bestFit="1" customWidth="1"/>
    <col min="13834" max="13834" width="11.140625" bestFit="1" customWidth="1"/>
    <col min="13835" max="13835" width="9.85546875" bestFit="1" customWidth="1"/>
    <col min="13836" max="13836" width="11.5703125" bestFit="1" customWidth="1"/>
    <col min="13837" max="13837" width="13.28515625" customWidth="1"/>
    <col min="13838" max="13838" width="26.42578125" bestFit="1" customWidth="1"/>
    <col min="13839" max="13839" width="9.42578125" bestFit="1" customWidth="1"/>
    <col min="13840" max="13845" width="8.42578125" bestFit="1" customWidth="1"/>
    <col min="13846" max="13847" width="11.5703125" bestFit="1" customWidth="1"/>
    <col min="14083" max="14083" width="30.5703125" customWidth="1"/>
    <col min="14084" max="14084" width="7.5703125" bestFit="1" customWidth="1"/>
    <col min="14085" max="14085" width="8.28515625" bestFit="1" customWidth="1"/>
    <col min="14086" max="14086" width="9.7109375" bestFit="1" customWidth="1"/>
    <col min="14087" max="14087" width="8.42578125" customWidth="1"/>
    <col min="14088" max="14089" width="9.7109375" bestFit="1" customWidth="1"/>
    <col min="14090" max="14090" width="11.140625" bestFit="1" customWidth="1"/>
    <col min="14091" max="14091" width="9.85546875" bestFit="1" customWidth="1"/>
    <col min="14092" max="14092" width="11.5703125" bestFit="1" customWidth="1"/>
    <col min="14093" max="14093" width="13.28515625" customWidth="1"/>
    <col min="14094" max="14094" width="26.42578125" bestFit="1" customWidth="1"/>
    <col min="14095" max="14095" width="9.42578125" bestFit="1" customWidth="1"/>
    <col min="14096" max="14101" width="8.42578125" bestFit="1" customWidth="1"/>
    <col min="14102" max="14103" width="11.5703125" bestFit="1" customWidth="1"/>
    <col min="14339" max="14339" width="30.5703125" customWidth="1"/>
    <col min="14340" max="14340" width="7.5703125" bestFit="1" customWidth="1"/>
    <col min="14341" max="14341" width="8.28515625" bestFit="1" customWidth="1"/>
    <col min="14342" max="14342" width="9.7109375" bestFit="1" customWidth="1"/>
    <col min="14343" max="14343" width="8.42578125" customWidth="1"/>
    <col min="14344" max="14345" width="9.7109375" bestFit="1" customWidth="1"/>
    <col min="14346" max="14346" width="11.140625" bestFit="1" customWidth="1"/>
    <col min="14347" max="14347" width="9.85546875" bestFit="1" customWidth="1"/>
    <col min="14348" max="14348" width="11.5703125" bestFit="1" customWidth="1"/>
    <col min="14349" max="14349" width="13.28515625" customWidth="1"/>
    <col min="14350" max="14350" width="26.42578125" bestFit="1" customWidth="1"/>
    <col min="14351" max="14351" width="9.42578125" bestFit="1" customWidth="1"/>
    <col min="14352" max="14357" width="8.42578125" bestFit="1" customWidth="1"/>
    <col min="14358" max="14359" width="11.5703125" bestFit="1" customWidth="1"/>
    <col min="14595" max="14595" width="30.5703125" customWidth="1"/>
    <col min="14596" max="14596" width="7.5703125" bestFit="1" customWidth="1"/>
    <col min="14597" max="14597" width="8.28515625" bestFit="1" customWidth="1"/>
    <col min="14598" max="14598" width="9.7109375" bestFit="1" customWidth="1"/>
    <col min="14599" max="14599" width="8.42578125" customWidth="1"/>
    <col min="14600" max="14601" width="9.7109375" bestFit="1" customWidth="1"/>
    <col min="14602" max="14602" width="11.140625" bestFit="1" customWidth="1"/>
    <col min="14603" max="14603" width="9.85546875" bestFit="1" customWidth="1"/>
    <col min="14604" max="14604" width="11.5703125" bestFit="1" customWidth="1"/>
    <col min="14605" max="14605" width="13.28515625" customWidth="1"/>
    <col min="14606" max="14606" width="26.42578125" bestFit="1" customWidth="1"/>
    <col min="14607" max="14607" width="9.42578125" bestFit="1" customWidth="1"/>
    <col min="14608" max="14613" width="8.42578125" bestFit="1" customWidth="1"/>
    <col min="14614" max="14615" width="11.5703125" bestFit="1" customWidth="1"/>
    <col min="14851" max="14851" width="30.5703125" customWidth="1"/>
    <col min="14852" max="14852" width="7.5703125" bestFit="1" customWidth="1"/>
    <col min="14853" max="14853" width="8.28515625" bestFit="1" customWidth="1"/>
    <col min="14854" max="14854" width="9.7109375" bestFit="1" customWidth="1"/>
    <col min="14855" max="14855" width="8.42578125" customWidth="1"/>
    <col min="14856" max="14857" width="9.7109375" bestFit="1" customWidth="1"/>
    <col min="14858" max="14858" width="11.140625" bestFit="1" customWidth="1"/>
    <col min="14859" max="14859" width="9.85546875" bestFit="1" customWidth="1"/>
    <col min="14860" max="14860" width="11.5703125" bestFit="1" customWidth="1"/>
    <col min="14861" max="14861" width="13.28515625" customWidth="1"/>
    <col min="14862" max="14862" width="26.42578125" bestFit="1" customWidth="1"/>
    <col min="14863" max="14863" width="9.42578125" bestFit="1" customWidth="1"/>
    <col min="14864" max="14869" width="8.42578125" bestFit="1" customWidth="1"/>
    <col min="14870" max="14871" width="11.5703125" bestFit="1" customWidth="1"/>
    <col min="15107" max="15107" width="30.5703125" customWidth="1"/>
    <col min="15108" max="15108" width="7.5703125" bestFit="1" customWidth="1"/>
    <col min="15109" max="15109" width="8.28515625" bestFit="1" customWidth="1"/>
    <col min="15110" max="15110" width="9.7109375" bestFit="1" customWidth="1"/>
    <col min="15111" max="15111" width="8.42578125" customWidth="1"/>
    <col min="15112" max="15113" width="9.7109375" bestFit="1" customWidth="1"/>
    <col min="15114" max="15114" width="11.140625" bestFit="1" customWidth="1"/>
    <col min="15115" max="15115" width="9.85546875" bestFit="1" customWidth="1"/>
    <col min="15116" max="15116" width="11.5703125" bestFit="1" customWidth="1"/>
    <col min="15117" max="15117" width="13.28515625" customWidth="1"/>
    <col min="15118" max="15118" width="26.42578125" bestFit="1" customWidth="1"/>
    <col min="15119" max="15119" width="9.42578125" bestFit="1" customWidth="1"/>
    <col min="15120" max="15125" width="8.42578125" bestFit="1" customWidth="1"/>
    <col min="15126" max="15127" width="11.5703125" bestFit="1" customWidth="1"/>
    <col min="15363" max="15363" width="30.5703125" customWidth="1"/>
    <col min="15364" max="15364" width="7.5703125" bestFit="1" customWidth="1"/>
    <col min="15365" max="15365" width="8.28515625" bestFit="1" customWidth="1"/>
    <col min="15366" max="15366" width="9.7109375" bestFit="1" customWidth="1"/>
    <col min="15367" max="15367" width="8.42578125" customWidth="1"/>
    <col min="15368" max="15369" width="9.7109375" bestFit="1" customWidth="1"/>
    <col min="15370" max="15370" width="11.140625" bestFit="1" customWidth="1"/>
    <col min="15371" max="15371" width="9.85546875" bestFit="1" customWidth="1"/>
    <col min="15372" max="15372" width="11.5703125" bestFit="1" customWidth="1"/>
    <col min="15373" max="15373" width="13.28515625" customWidth="1"/>
    <col min="15374" max="15374" width="26.42578125" bestFit="1" customWidth="1"/>
    <col min="15375" max="15375" width="9.42578125" bestFit="1" customWidth="1"/>
    <col min="15376" max="15381" width="8.42578125" bestFit="1" customWidth="1"/>
    <col min="15382" max="15383" width="11.5703125" bestFit="1" customWidth="1"/>
    <col min="15619" max="15619" width="30.5703125" customWidth="1"/>
    <col min="15620" max="15620" width="7.5703125" bestFit="1" customWidth="1"/>
    <col min="15621" max="15621" width="8.28515625" bestFit="1" customWidth="1"/>
    <col min="15622" max="15622" width="9.7109375" bestFit="1" customWidth="1"/>
    <col min="15623" max="15623" width="8.42578125" customWidth="1"/>
    <col min="15624" max="15625" width="9.7109375" bestFit="1" customWidth="1"/>
    <col min="15626" max="15626" width="11.140625" bestFit="1" customWidth="1"/>
    <col min="15627" max="15627" width="9.85546875" bestFit="1" customWidth="1"/>
    <col min="15628" max="15628" width="11.5703125" bestFit="1" customWidth="1"/>
    <col min="15629" max="15629" width="13.28515625" customWidth="1"/>
    <col min="15630" max="15630" width="26.42578125" bestFit="1" customWidth="1"/>
    <col min="15631" max="15631" width="9.42578125" bestFit="1" customWidth="1"/>
    <col min="15632" max="15637" width="8.42578125" bestFit="1" customWidth="1"/>
    <col min="15638" max="15639" width="11.5703125" bestFit="1" customWidth="1"/>
    <col min="15875" max="15875" width="30.5703125" customWidth="1"/>
    <col min="15876" max="15876" width="7.5703125" bestFit="1" customWidth="1"/>
    <col min="15877" max="15877" width="8.28515625" bestFit="1" customWidth="1"/>
    <col min="15878" max="15878" width="9.7109375" bestFit="1" customWidth="1"/>
    <col min="15879" max="15879" width="8.42578125" customWidth="1"/>
    <col min="15880" max="15881" width="9.7109375" bestFit="1" customWidth="1"/>
    <col min="15882" max="15882" width="11.140625" bestFit="1" customWidth="1"/>
    <col min="15883" max="15883" width="9.85546875" bestFit="1" customWidth="1"/>
    <col min="15884" max="15884" width="11.5703125" bestFit="1" customWidth="1"/>
    <col min="15885" max="15885" width="13.28515625" customWidth="1"/>
    <col min="15886" max="15886" width="26.42578125" bestFit="1" customWidth="1"/>
    <col min="15887" max="15887" width="9.42578125" bestFit="1" customWidth="1"/>
    <col min="15888" max="15893" width="8.42578125" bestFit="1" customWidth="1"/>
    <col min="15894" max="15895" width="11.5703125" bestFit="1" customWidth="1"/>
    <col min="16131" max="16131" width="30.5703125" customWidth="1"/>
    <col min="16132" max="16132" width="7.5703125" bestFit="1" customWidth="1"/>
    <col min="16133" max="16133" width="8.28515625" bestFit="1" customWidth="1"/>
    <col min="16134" max="16134" width="9.7109375" bestFit="1" customWidth="1"/>
    <col min="16135" max="16135" width="8.42578125" customWidth="1"/>
    <col min="16136" max="16137" width="9.7109375" bestFit="1" customWidth="1"/>
    <col min="16138" max="16138" width="11.140625" bestFit="1" customWidth="1"/>
    <col min="16139" max="16139" width="9.85546875" bestFit="1" customWidth="1"/>
    <col min="16140" max="16140" width="11.5703125" bestFit="1" customWidth="1"/>
    <col min="16141" max="16141" width="13.28515625" customWidth="1"/>
    <col min="16142" max="16142" width="26.42578125" bestFit="1" customWidth="1"/>
    <col min="16143" max="16143" width="9.42578125" bestFit="1" customWidth="1"/>
    <col min="16144" max="16149" width="8.42578125" bestFit="1" customWidth="1"/>
    <col min="16150" max="16151" width="11.5703125" bestFit="1" customWidth="1"/>
  </cols>
  <sheetData>
    <row r="1" spans="2:23" ht="60" x14ac:dyDescent="0.25">
      <c r="N1" t="s">
        <v>141</v>
      </c>
      <c r="O1" s="154" t="s">
        <v>142</v>
      </c>
      <c r="P1" s="154" t="s">
        <v>143</v>
      </c>
      <c r="Q1" s="154" t="s">
        <v>109</v>
      </c>
      <c r="R1" s="154" t="s">
        <v>144</v>
      </c>
      <c r="S1" s="154" t="s">
        <v>144</v>
      </c>
      <c r="T1" s="154" t="s">
        <v>133</v>
      </c>
      <c r="U1" s="154" t="s">
        <v>133</v>
      </c>
    </row>
    <row r="2" spans="2:23" x14ac:dyDescent="0.25">
      <c r="B2" s="464" t="s">
        <v>180</v>
      </c>
      <c r="C2" s="464"/>
      <c r="D2" s="464"/>
      <c r="E2" s="464"/>
      <c r="F2" s="464"/>
      <c r="G2" s="464"/>
      <c r="H2" s="464"/>
      <c r="I2" s="464"/>
      <c r="J2" s="464"/>
      <c r="K2" s="464"/>
      <c r="L2" s="175"/>
      <c r="M2" s="155"/>
      <c r="N2" s="156" t="s">
        <v>145</v>
      </c>
    </row>
    <row r="3" spans="2:23" ht="45" x14ac:dyDescent="0.25">
      <c r="B3" s="157" t="s">
        <v>146</v>
      </c>
      <c r="C3" s="158" t="s">
        <v>147</v>
      </c>
      <c r="D3" s="158" t="s">
        <v>148</v>
      </c>
      <c r="E3" s="158" t="s">
        <v>149</v>
      </c>
      <c r="F3" s="158" t="s">
        <v>150</v>
      </c>
      <c r="G3" s="158" t="s">
        <v>151</v>
      </c>
      <c r="H3" s="158" t="s">
        <v>152</v>
      </c>
      <c r="I3" s="158" t="s">
        <v>153</v>
      </c>
      <c r="J3" s="158" t="s">
        <v>154</v>
      </c>
      <c r="K3" s="158" t="s">
        <v>155</v>
      </c>
      <c r="L3" s="176"/>
      <c r="N3" s="157"/>
      <c r="O3" s="158" t="s">
        <v>147</v>
      </c>
      <c r="P3" s="158" t="s">
        <v>148</v>
      </c>
      <c r="Q3" s="158" t="s">
        <v>149</v>
      </c>
      <c r="R3" s="158" t="s">
        <v>150</v>
      </c>
      <c r="S3" s="158" t="s">
        <v>151</v>
      </c>
      <c r="T3" s="158" t="s">
        <v>152</v>
      </c>
      <c r="U3" s="158" t="s">
        <v>153</v>
      </c>
      <c r="V3" s="158" t="s">
        <v>154</v>
      </c>
      <c r="W3" s="158" t="s">
        <v>155</v>
      </c>
    </row>
    <row r="4" spans="2:23" x14ac:dyDescent="0.25">
      <c r="B4" s="115" t="s">
        <v>156</v>
      </c>
      <c r="C4" s="159">
        <v>1500</v>
      </c>
      <c r="D4" s="159">
        <v>730</v>
      </c>
      <c r="E4" s="159">
        <v>2190</v>
      </c>
      <c r="F4" s="159">
        <v>3212</v>
      </c>
      <c r="G4" s="159">
        <v>5804</v>
      </c>
      <c r="H4" s="159">
        <v>7300</v>
      </c>
      <c r="I4" s="159">
        <v>11315</v>
      </c>
      <c r="J4" s="159" t="s">
        <v>157</v>
      </c>
      <c r="K4" s="159" t="s">
        <v>157</v>
      </c>
      <c r="L4" s="167"/>
      <c r="N4" s="115" t="s">
        <v>156</v>
      </c>
      <c r="O4" s="159"/>
      <c r="P4" s="160">
        <f>D4/D$17</f>
        <v>7.3</v>
      </c>
      <c r="Q4" s="160">
        <f t="shared" ref="Q4:U16" si="0">E4/E$17</f>
        <v>7.3</v>
      </c>
      <c r="R4" s="160">
        <f t="shared" si="0"/>
        <v>3.65</v>
      </c>
      <c r="S4" s="160">
        <f t="shared" si="0"/>
        <v>3.6503144654088051</v>
      </c>
      <c r="T4" s="160">
        <f t="shared" si="0"/>
        <v>3.65</v>
      </c>
      <c r="U4" s="160">
        <f t="shared" si="0"/>
        <v>6.2861111111111114</v>
      </c>
      <c r="V4" s="159"/>
      <c r="W4" s="159"/>
    </row>
    <row r="5" spans="2:23" x14ac:dyDescent="0.25">
      <c r="B5" s="115" t="s">
        <v>158</v>
      </c>
      <c r="C5" s="159">
        <v>460</v>
      </c>
      <c r="D5" s="159">
        <v>215</v>
      </c>
      <c r="E5" s="159">
        <v>645</v>
      </c>
      <c r="F5" s="159">
        <v>946</v>
      </c>
      <c r="G5" s="159">
        <v>1709</v>
      </c>
      <c r="H5" s="159">
        <v>2150</v>
      </c>
      <c r="I5" s="159">
        <v>3333</v>
      </c>
      <c r="J5" s="159" t="s">
        <v>157</v>
      </c>
      <c r="K5" s="159" t="s">
        <v>157</v>
      </c>
      <c r="L5" s="167"/>
      <c r="N5" s="115" t="s">
        <v>158</v>
      </c>
      <c r="O5" s="159"/>
      <c r="P5" s="160">
        <f t="shared" ref="P5:P16" si="1">D5/D$17</f>
        <v>2.15</v>
      </c>
      <c r="Q5" s="160">
        <f t="shared" si="0"/>
        <v>2.15</v>
      </c>
      <c r="R5" s="160">
        <f t="shared" si="0"/>
        <v>1.075</v>
      </c>
      <c r="S5" s="160">
        <f t="shared" si="0"/>
        <v>1.0748427672955976</v>
      </c>
      <c r="T5" s="160">
        <f t="shared" si="0"/>
        <v>1.075</v>
      </c>
      <c r="U5" s="160">
        <f t="shared" si="0"/>
        <v>1.8516666666666666</v>
      </c>
      <c r="V5" s="159"/>
      <c r="W5" s="159"/>
    </row>
    <row r="6" spans="2:23" x14ac:dyDescent="0.25">
      <c r="B6" s="115" t="s">
        <v>159</v>
      </c>
      <c r="C6" s="159">
        <v>2300</v>
      </c>
      <c r="D6" s="159">
        <v>1095</v>
      </c>
      <c r="E6" s="159">
        <v>3285</v>
      </c>
      <c r="F6" s="159">
        <v>4818</v>
      </c>
      <c r="G6" s="159">
        <v>8705</v>
      </c>
      <c r="H6" s="159">
        <v>10950</v>
      </c>
      <c r="I6" s="159">
        <v>16973</v>
      </c>
      <c r="J6" s="159" t="s">
        <v>157</v>
      </c>
      <c r="K6" s="159" t="s">
        <v>157</v>
      </c>
      <c r="L6" s="167"/>
      <c r="N6" s="115" t="s">
        <v>159</v>
      </c>
      <c r="O6" s="159"/>
      <c r="P6" s="160">
        <f t="shared" si="1"/>
        <v>10.95</v>
      </c>
      <c r="Q6" s="160">
        <f t="shared" si="0"/>
        <v>10.95</v>
      </c>
      <c r="R6" s="160">
        <f t="shared" si="0"/>
        <v>5.4749999999999996</v>
      </c>
      <c r="S6" s="160">
        <f t="shared" si="0"/>
        <v>5.4748427672955975</v>
      </c>
      <c r="T6" s="160">
        <f t="shared" si="0"/>
        <v>5.4749999999999996</v>
      </c>
      <c r="U6" s="160">
        <f t="shared" si="0"/>
        <v>9.4294444444444441</v>
      </c>
      <c r="V6" s="159"/>
      <c r="W6" s="159"/>
    </row>
    <row r="7" spans="2:23" x14ac:dyDescent="0.25">
      <c r="B7" s="115" t="s">
        <v>160</v>
      </c>
      <c r="C7" s="159">
        <v>890</v>
      </c>
      <c r="D7" s="159">
        <v>417</v>
      </c>
      <c r="E7" s="159">
        <v>1251</v>
      </c>
      <c r="F7" s="159">
        <v>1835</v>
      </c>
      <c r="G7" s="159">
        <v>3315</v>
      </c>
      <c r="H7" s="159">
        <v>4170</v>
      </c>
      <c r="I7" s="159">
        <v>6464</v>
      </c>
      <c r="J7" s="159" t="s">
        <v>157</v>
      </c>
      <c r="K7" s="159" t="s">
        <v>157</v>
      </c>
      <c r="L7" s="167"/>
      <c r="N7" s="115" t="s">
        <v>160</v>
      </c>
      <c r="O7" s="159"/>
      <c r="P7" s="160">
        <f t="shared" si="1"/>
        <v>4.17</v>
      </c>
      <c r="Q7" s="160">
        <f t="shared" si="0"/>
        <v>4.17</v>
      </c>
      <c r="R7" s="160">
        <f t="shared" si="0"/>
        <v>2.0852272727272729</v>
      </c>
      <c r="S7" s="160">
        <f t="shared" si="0"/>
        <v>2.0849056603773586</v>
      </c>
      <c r="T7" s="160">
        <f t="shared" si="0"/>
        <v>2.085</v>
      </c>
      <c r="U7" s="160">
        <f t="shared" si="0"/>
        <v>3.5911111111111111</v>
      </c>
      <c r="V7" s="159"/>
      <c r="W7" s="159"/>
    </row>
    <row r="8" spans="2:23" x14ac:dyDescent="0.25">
      <c r="B8" s="115" t="s">
        <v>161</v>
      </c>
      <c r="C8" s="159">
        <v>460</v>
      </c>
      <c r="D8" s="159">
        <v>219</v>
      </c>
      <c r="E8" s="159">
        <v>657</v>
      </c>
      <c r="F8" s="159">
        <v>964</v>
      </c>
      <c r="G8" s="159">
        <v>1741</v>
      </c>
      <c r="H8" s="159">
        <v>2190</v>
      </c>
      <c r="I8" s="159">
        <v>3395</v>
      </c>
      <c r="J8" s="159" t="s">
        <v>157</v>
      </c>
      <c r="K8" s="159" t="s">
        <v>157</v>
      </c>
      <c r="L8" s="167"/>
      <c r="N8" s="115" t="s">
        <v>161</v>
      </c>
      <c r="O8" s="159"/>
      <c r="P8" s="160">
        <f t="shared" si="1"/>
        <v>2.19</v>
      </c>
      <c r="Q8" s="160">
        <f t="shared" si="0"/>
        <v>2.19</v>
      </c>
      <c r="R8" s="160">
        <f t="shared" si="0"/>
        <v>1.0954545454545455</v>
      </c>
      <c r="S8" s="160">
        <f t="shared" si="0"/>
        <v>1.0949685534591196</v>
      </c>
      <c r="T8" s="160">
        <f t="shared" si="0"/>
        <v>1.095</v>
      </c>
      <c r="U8" s="160">
        <f t="shared" si="0"/>
        <v>1.8861111111111111</v>
      </c>
      <c r="V8" s="159"/>
      <c r="W8" s="159"/>
    </row>
    <row r="9" spans="2:23" x14ac:dyDescent="0.25">
      <c r="B9" s="115" t="s">
        <v>162</v>
      </c>
      <c r="C9" s="159">
        <v>280</v>
      </c>
      <c r="D9" s="159">
        <v>128</v>
      </c>
      <c r="E9" s="159">
        <v>384</v>
      </c>
      <c r="F9" s="159">
        <v>563</v>
      </c>
      <c r="G9" s="159">
        <v>1018</v>
      </c>
      <c r="H9" s="159">
        <v>1280</v>
      </c>
      <c r="I9" s="159">
        <v>1984</v>
      </c>
      <c r="J9" s="159" t="s">
        <v>157</v>
      </c>
      <c r="K9" s="159" t="s">
        <v>157</v>
      </c>
      <c r="L9" s="167"/>
      <c r="N9" s="115" t="s">
        <v>162</v>
      </c>
      <c r="O9" s="159"/>
      <c r="P9" s="160">
        <f t="shared" si="1"/>
        <v>1.28</v>
      </c>
      <c r="Q9" s="160">
        <f t="shared" si="0"/>
        <v>1.28</v>
      </c>
      <c r="R9" s="160">
        <f t="shared" si="0"/>
        <v>0.63977272727272727</v>
      </c>
      <c r="S9" s="160">
        <f t="shared" si="0"/>
        <v>0.64025157232704399</v>
      </c>
      <c r="T9" s="160">
        <f t="shared" si="0"/>
        <v>0.64</v>
      </c>
      <c r="U9" s="160">
        <f t="shared" si="0"/>
        <v>1.1022222222222222</v>
      </c>
      <c r="V9" s="159"/>
      <c r="W9" s="159"/>
    </row>
    <row r="10" spans="2:23" x14ac:dyDescent="0.25">
      <c r="B10" s="115" t="s">
        <v>163</v>
      </c>
      <c r="C10" s="159">
        <v>170</v>
      </c>
      <c r="D10" s="159">
        <v>76</v>
      </c>
      <c r="E10" s="159">
        <v>228</v>
      </c>
      <c r="F10" s="159">
        <v>334</v>
      </c>
      <c r="G10" s="159">
        <v>604</v>
      </c>
      <c r="H10" s="159">
        <v>760</v>
      </c>
      <c r="I10" s="159">
        <v>1178</v>
      </c>
      <c r="J10" s="159" t="s">
        <v>157</v>
      </c>
      <c r="K10" s="159" t="s">
        <v>157</v>
      </c>
      <c r="L10" s="167"/>
      <c r="N10" s="115" t="s">
        <v>163</v>
      </c>
      <c r="O10" s="159"/>
      <c r="P10" s="160">
        <f t="shared" si="1"/>
        <v>0.76</v>
      </c>
      <c r="Q10" s="160">
        <f t="shared" si="0"/>
        <v>0.76</v>
      </c>
      <c r="R10" s="160">
        <f t="shared" si="0"/>
        <v>0.37954545454545452</v>
      </c>
      <c r="S10" s="160">
        <f t="shared" si="0"/>
        <v>0.37987421383647801</v>
      </c>
      <c r="T10" s="160">
        <f t="shared" si="0"/>
        <v>0.38</v>
      </c>
      <c r="U10" s="160">
        <f t="shared" si="0"/>
        <v>0.6544444444444445</v>
      </c>
      <c r="V10" s="159"/>
      <c r="W10" s="159"/>
    </row>
    <row r="11" spans="2:23" x14ac:dyDescent="0.25">
      <c r="B11" s="115" t="s">
        <v>164</v>
      </c>
      <c r="C11" s="159">
        <v>94</v>
      </c>
      <c r="D11" s="159" t="s">
        <v>157</v>
      </c>
      <c r="E11" s="159">
        <v>132</v>
      </c>
      <c r="F11" s="159">
        <v>194</v>
      </c>
      <c r="G11" s="159">
        <v>350</v>
      </c>
      <c r="H11" s="159">
        <v>440</v>
      </c>
      <c r="I11" s="159">
        <v>682</v>
      </c>
      <c r="J11" s="159" t="s">
        <v>157</v>
      </c>
      <c r="K11" s="159" t="s">
        <v>157</v>
      </c>
      <c r="L11" s="167"/>
      <c r="N11" s="115" t="s">
        <v>164</v>
      </c>
      <c r="O11" s="159"/>
      <c r="P11" s="160" t="e">
        <f t="shared" si="1"/>
        <v>#VALUE!</v>
      </c>
      <c r="Q11" s="160">
        <f t="shared" si="0"/>
        <v>0.44</v>
      </c>
      <c r="R11" s="160">
        <f t="shared" si="0"/>
        <v>0.22045454545454546</v>
      </c>
      <c r="S11" s="160">
        <f t="shared" si="0"/>
        <v>0.22012578616352202</v>
      </c>
      <c r="T11" s="160">
        <f t="shared" si="0"/>
        <v>0.22</v>
      </c>
      <c r="U11" s="160">
        <f t="shared" si="0"/>
        <v>0.37888888888888889</v>
      </c>
      <c r="V11" s="159"/>
      <c r="W11" s="159"/>
    </row>
    <row r="12" spans="2:23" x14ac:dyDescent="0.25">
      <c r="B12" s="115" t="s">
        <v>165</v>
      </c>
      <c r="C12" s="159" t="s">
        <v>157</v>
      </c>
      <c r="D12" s="159" t="s">
        <v>157</v>
      </c>
      <c r="E12" s="159">
        <v>183</v>
      </c>
      <c r="F12" s="159">
        <v>268</v>
      </c>
      <c r="G12" s="159">
        <v>485</v>
      </c>
      <c r="H12" s="159">
        <v>610</v>
      </c>
      <c r="I12" s="159">
        <v>946</v>
      </c>
      <c r="J12" s="159" t="s">
        <v>157</v>
      </c>
      <c r="K12" s="159" t="s">
        <v>157</v>
      </c>
      <c r="L12" s="167"/>
      <c r="N12" s="115" t="s">
        <v>165</v>
      </c>
      <c r="O12" s="159"/>
      <c r="P12" s="160" t="e">
        <f t="shared" si="1"/>
        <v>#VALUE!</v>
      </c>
      <c r="Q12" s="160">
        <f t="shared" si="0"/>
        <v>0.61</v>
      </c>
      <c r="R12" s="160">
        <f t="shared" si="0"/>
        <v>0.30454545454545456</v>
      </c>
      <c r="S12" s="160">
        <f t="shared" si="0"/>
        <v>0.30503144654088049</v>
      </c>
      <c r="T12" s="160">
        <f t="shared" si="0"/>
        <v>0.30499999999999999</v>
      </c>
      <c r="U12" s="160">
        <f t="shared" si="0"/>
        <v>0.52555555555555555</v>
      </c>
      <c r="V12" s="159"/>
      <c r="W12" s="159"/>
    </row>
    <row r="13" spans="2:23" x14ac:dyDescent="0.25">
      <c r="B13" s="115" t="s">
        <v>166</v>
      </c>
      <c r="C13" s="159" t="s">
        <v>157</v>
      </c>
      <c r="D13" s="159" t="s">
        <v>157</v>
      </c>
      <c r="E13" s="159">
        <v>150</v>
      </c>
      <c r="F13" s="159">
        <v>220</v>
      </c>
      <c r="G13" s="159">
        <v>398</v>
      </c>
      <c r="H13" s="159">
        <v>500</v>
      </c>
      <c r="I13" s="159">
        <v>775</v>
      </c>
      <c r="J13" s="159" t="s">
        <v>157</v>
      </c>
      <c r="K13" s="159" t="s">
        <v>157</v>
      </c>
      <c r="L13" s="167"/>
      <c r="N13" s="115" t="s">
        <v>166</v>
      </c>
      <c r="O13" s="159"/>
      <c r="P13" s="160" t="e">
        <f t="shared" si="1"/>
        <v>#VALUE!</v>
      </c>
      <c r="Q13" s="160">
        <f t="shared" si="0"/>
        <v>0.5</v>
      </c>
      <c r="R13" s="160">
        <f t="shared" si="0"/>
        <v>0.25</v>
      </c>
      <c r="S13" s="160">
        <f t="shared" si="0"/>
        <v>0.25031446540880503</v>
      </c>
      <c r="T13" s="160">
        <f t="shared" si="0"/>
        <v>0.25</v>
      </c>
      <c r="U13" s="160">
        <f t="shared" si="0"/>
        <v>0.43055555555555558</v>
      </c>
      <c r="V13" s="159"/>
      <c r="W13" s="159"/>
    </row>
    <row r="14" spans="2:23" x14ac:dyDescent="0.25">
      <c r="B14" s="115" t="s">
        <v>167</v>
      </c>
      <c r="C14" s="159" t="s">
        <v>157</v>
      </c>
      <c r="D14" s="159" t="s">
        <v>157</v>
      </c>
      <c r="E14" s="159">
        <v>114</v>
      </c>
      <c r="F14" s="159">
        <v>167</v>
      </c>
      <c r="G14" s="159">
        <v>302</v>
      </c>
      <c r="H14" s="159">
        <v>380</v>
      </c>
      <c r="I14" s="159">
        <v>589</v>
      </c>
      <c r="J14" s="159" t="s">
        <v>157</v>
      </c>
      <c r="K14" s="159" t="s">
        <v>157</v>
      </c>
      <c r="L14" s="167"/>
      <c r="N14" s="115" t="s">
        <v>167</v>
      </c>
      <c r="O14" s="159"/>
      <c r="P14" s="160" t="e">
        <f t="shared" si="1"/>
        <v>#VALUE!</v>
      </c>
      <c r="Q14" s="160">
        <f t="shared" si="0"/>
        <v>0.38</v>
      </c>
      <c r="R14" s="160">
        <f t="shared" si="0"/>
        <v>0.18977272727272726</v>
      </c>
      <c r="S14" s="160">
        <f t="shared" si="0"/>
        <v>0.18993710691823901</v>
      </c>
      <c r="T14" s="160">
        <f t="shared" si="0"/>
        <v>0.19</v>
      </c>
      <c r="U14" s="160">
        <f t="shared" si="0"/>
        <v>0.32722222222222225</v>
      </c>
      <c r="V14" s="159"/>
      <c r="W14" s="159"/>
    </row>
    <row r="15" spans="2:23" x14ac:dyDescent="0.25">
      <c r="B15" s="115" t="s">
        <v>168</v>
      </c>
      <c r="C15" s="159" t="s">
        <v>157</v>
      </c>
      <c r="D15" s="159" t="s">
        <v>157</v>
      </c>
      <c r="E15" s="159">
        <v>108</v>
      </c>
      <c r="F15" s="159">
        <v>158</v>
      </c>
      <c r="G15" s="159">
        <v>286</v>
      </c>
      <c r="H15" s="159">
        <v>360</v>
      </c>
      <c r="I15" s="159">
        <v>558</v>
      </c>
      <c r="J15" s="159" t="s">
        <v>157</v>
      </c>
      <c r="K15" s="159" t="s">
        <v>157</v>
      </c>
      <c r="L15" s="167"/>
      <c r="N15" s="115" t="s">
        <v>168</v>
      </c>
      <c r="O15" s="159"/>
      <c r="P15" s="160" t="e">
        <f t="shared" si="1"/>
        <v>#VALUE!</v>
      </c>
      <c r="Q15" s="160">
        <f t="shared" si="0"/>
        <v>0.36</v>
      </c>
      <c r="R15" s="160">
        <f t="shared" si="0"/>
        <v>0.17954545454545454</v>
      </c>
      <c r="S15" s="160">
        <f t="shared" si="0"/>
        <v>0.17987421383647798</v>
      </c>
      <c r="T15" s="160">
        <f t="shared" si="0"/>
        <v>0.18</v>
      </c>
      <c r="U15" s="160">
        <f t="shared" si="0"/>
        <v>0.31</v>
      </c>
      <c r="V15" s="159"/>
      <c r="W15" s="159"/>
    </row>
    <row r="16" spans="2:23" x14ac:dyDescent="0.25">
      <c r="B16" s="115" t="s">
        <v>169</v>
      </c>
      <c r="C16" s="159" t="s">
        <v>157</v>
      </c>
      <c r="D16" s="159" t="s">
        <v>157</v>
      </c>
      <c r="E16" s="159" t="s">
        <v>157</v>
      </c>
      <c r="F16" s="159" t="s">
        <v>157</v>
      </c>
      <c r="G16" s="159" t="s">
        <v>157</v>
      </c>
      <c r="H16" s="159" t="s">
        <v>157</v>
      </c>
      <c r="I16" s="159" t="s">
        <v>157</v>
      </c>
      <c r="J16" s="159">
        <v>3</v>
      </c>
      <c r="K16" s="159">
        <v>12</v>
      </c>
      <c r="L16" s="167"/>
      <c r="N16" s="115" t="s">
        <v>169</v>
      </c>
      <c r="O16" s="159"/>
      <c r="P16" s="160" t="e">
        <f t="shared" si="1"/>
        <v>#VALUE!</v>
      </c>
      <c r="Q16" s="160" t="e">
        <f t="shared" si="0"/>
        <v>#VALUE!</v>
      </c>
      <c r="R16" s="160" t="e">
        <f t="shared" si="0"/>
        <v>#VALUE!</v>
      </c>
      <c r="S16" s="160" t="e">
        <f t="shared" si="0"/>
        <v>#VALUE!</v>
      </c>
      <c r="T16" s="160" t="e">
        <f t="shared" si="0"/>
        <v>#VALUE!</v>
      </c>
      <c r="U16" s="160" t="e">
        <f t="shared" si="0"/>
        <v>#VALUE!</v>
      </c>
      <c r="V16" s="159"/>
      <c r="W16" s="159"/>
    </row>
    <row r="17" spans="2:23" x14ac:dyDescent="0.25">
      <c r="B17" t="s">
        <v>170</v>
      </c>
      <c r="C17" s="161"/>
      <c r="D17" s="161">
        <v>100</v>
      </c>
      <c r="E17" s="161">
        <v>300</v>
      </c>
      <c r="F17" s="161">
        <v>880</v>
      </c>
      <c r="G17" s="161">
        <v>1590</v>
      </c>
      <c r="H17" s="161">
        <v>2000</v>
      </c>
      <c r="I17" s="161">
        <v>1800</v>
      </c>
      <c r="J17" s="161">
        <v>3000</v>
      </c>
      <c r="K17" s="161">
        <v>12000</v>
      </c>
      <c r="L17" s="161"/>
      <c r="N17" t="s">
        <v>170</v>
      </c>
      <c r="O17" s="161"/>
      <c r="P17" s="161">
        <v>100</v>
      </c>
      <c r="Q17" s="161">
        <v>300</v>
      </c>
      <c r="R17" s="161">
        <v>880</v>
      </c>
      <c r="S17" s="161">
        <v>1590</v>
      </c>
      <c r="T17" s="161">
        <v>2000</v>
      </c>
      <c r="U17" s="161">
        <v>1800</v>
      </c>
      <c r="V17" s="161">
        <v>3000</v>
      </c>
      <c r="W17" s="161">
        <v>12000</v>
      </c>
    </row>
    <row r="18" spans="2:23" x14ac:dyDescent="0.25"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O18" s="161"/>
      <c r="P18" s="161"/>
      <c r="Q18" s="161"/>
      <c r="R18" s="161"/>
      <c r="S18" s="161"/>
      <c r="T18" s="161"/>
      <c r="U18" s="161"/>
      <c r="V18" s="161"/>
      <c r="W18" s="161"/>
    </row>
    <row r="19" spans="2:23" x14ac:dyDescent="0.25"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O19" s="161"/>
      <c r="P19" s="161"/>
      <c r="Q19" s="161"/>
      <c r="R19" s="161"/>
      <c r="S19" s="161"/>
      <c r="T19" s="161"/>
      <c r="U19" s="161"/>
      <c r="V19" s="161"/>
      <c r="W19" s="161"/>
    </row>
    <row r="21" spans="2:23" ht="15.75" thickBot="1" x14ac:dyDescent="0.3">
      <c r="B21" s="465">
        <v>2017</v>
      </c>
      <c r="C21" s="465"/>
      <c r="D21" s="465"/>
      <c r="E21" s="465"/>
      <c r="F21" s="465"/>
      <c r="G21" s="465"/>
      <c r="H21" s="465"/>
      <c r="I21" s="465"/>
      <c r="J21" s="465"/>
    </row>
    <row r="22" spans="2:23" ht="15.75" thickBot="1" x14ac:dyDescent="0.3">
      <c r="B22" s="466" t="s">
        <v>171</v>
      </c>
      <c r="C22" s="467"/>
      <c r="D22" s="467"/>
      <c r="E22" s="467"/>
      <c r="F22" s="467"/>
      <c r="G22" s="467"/>
      <c r="H22" s="467"/>
      <c r="I22" s="467"/>
      <c r="J22" s="468"/>
      <c r="K22" s="156"/>
      <c r="L22" s="156"/>
    </row>
    <row r="23" spans="2:23" ht="45" x14ac:dyDescent="0.25">
      <c r="B23" s="177" t="s">
        <v>146</v>
      </c>
      <c r="C23" s="178" t="s">
        <v>181</v>
      </c>
      <c r="D23" s="180" t="s">
        <v>172</v>
      </c>
      <c r="E23" s="179" t="s">
        <v>182</v>
      </c>
      <c r="F23" s="180" t="s">
        <v>173</v>
      </c>
      <c r="G23" s="179" t="s">
        <v>182</v>
      </c>
      <c r="H23" s="180" t="s">
        <v>174</v>
      </c>
      <c r="I23" s="179" t="s">
        <v>182</v>
      </c>
      <c r="J23" s="181" t="s">
        <v>175</v>
      </c>
      <c r="K23" s="183" t="s">
        <v>182</v>
      </c>
      <c r="N23" s="156"/>
      <c r="P23" s="156"/>
    </row>
    <row r="24" spans="2:23" x14ac:dyDescent="0.25">
      <c r="B24" s="162" t="s">
        <v>156</v>
      </c>
      <c r="C24" s="115"/>
      <c r="D24" s="168">
        <f t="shared" ref="D24:D30" si="2">P4*D$37</f>
        <v>1460</v>
      </c>
      <c r="E24" s="159"/>
      <c r="F24" s="168">
        <f t="shared" ref="F24:F35" si="3">Q4*F$37</f>
        <v>4015</v>
      </c>
      <c r="G24" s="159"/>
      <c r="H24" s="168">
        <f t="shared" ref="H24:H35" si="4">R4*H$37</f>
        <v>5475</v>
      </c>
      <c r="I24" s="159"/>
      <c r="J24" s="171">
        <f t="shared" ref="J24:J35" si="5">U4*J$37</f>
        <v>26401.666666666668</v>
      </c>
      <c r="K24" s="163"/>
    </row>
    <row r="25" spans="2:23" x14ac:dyDescent="0.25">
      <c r="B25" s="162" t="s">
        <v>158</v>
      </c>
      <c r="C25" s="115"/>
      <c r="D25" s="168">
        <f t="shared" si="2"/>
        <v>430</v>
      </c>
      <c r="E25" s="159"/>
      <c r="F25" s="168">
        <f t="shared" si="3"/>
        <v>1182.5</v>
      </c>
      <c r="G25" s="159"/>
      <c r="H25" s="168">
        <f t="shared" si="4"/>
        <v>1612.5</v>
      </c>
      <c r="I25" s="159"/>
      <c r="J25" s="171">
        <f t="shared" si="5"/>
        <v>7777</v>
      </c>
      <c r="K25" s="163"/>
    </row>
    <row r="26" spans="2:23" x14ac:dyDescent="0.25">
      <c r="B26" s="162" t="s">
        <v>159</v>
      </c>
      <c r="C26" s="115">
        <v>1.5404322118055556E-2</v>
      </c>
      <c r="D26" s="168">
        <f t="shared" si="2"/>
        <v>2190</v>
      </c>
      <c r="E26" s="159">
        <f>D26*$C26</f>
        <v>33.735465438541667</v>
      </c>
      <c r="F26" s="168">
        <f t="shared" si="3"/>
        <v>6022.5</v>
      </c>
      <c r="G26" s="159">
        <f>F26*$C26</f>
        <v>92.772529955989583</v>
      </c>
      <c r="H26" s="168">
        <f t="shared" si="4"/>
        <v>8212.5</v>
      </c>
      <c r="I26" s="159">
        <f>H26*$C26</f>
        <v>126.50799539453126</v>
      </c>
      <c r="J26" s="171">
        <f t="shared" si="5"/>
        <v>39603.666666666664</v>
      </c>
      <c r="K26" s="163">
        <f>J26*$C26</f>
        <v>610.06763838943289</v>
      </c>
    </row>
    <row r="27" spans="2:23" x14ac:dyDescent="0.25">
      <c r="B27" s="162" t="s">
        <v>160</v>
      </c>
      <c r="C27" s="115">
        <v>3.7100000000000001E-2</v>
      </c>
      <c r="D27" s="168">
        <f t="shared" si="2"/>
        <v>834</v>
      </c>
      <c r="E27" s="159">
        <f>D27*$C27</f>
        <v>30.941400000000002</v>
      </c>
      <c r="F27" s="168">
        <f t="shared" si="3"/>
        <v>2293.5</v>
      </c>
      <c r="G27" s="159">
        <f>F27*$C27</f>
        <v>85.088850000000008</v>
      </c>
      <c r="H27" s="168">
        <f t="shared" si="4"/>
        <v>3127.8409090909095</v>
      </c>
      <c r="I27" s="159">
        <f>H27*$C27</f>
        <v>116.04289772727275</v>
      </c>
      <c r="J27" s="171">
        <f t="shared" si="5"/>
        <v>15082.666666666666</v>
      </c>
      <c r="K27" s="163">
        <f>J27*$C27</f>
        <v>559.56693333333328</v>
      </c>
    </row>
    <row r="28" spans="2:23" x14ac:dyDescent="0.25">
      <c r="B28" s="162" t="s">
        <v>161</v>
      </c>
      <c r="C28" s="115">
        <v>5.16E-2</v>
      </c>
      <c r="D28" s="168">
        <f t="shared" si="2"/>
        <v>438</v>
      </c>
      <c r="E28" s="159">
        <f>D28*$C28</f>
        <v>22.6008</v>
      </c>
      <c r="F28" s="168">
        <f t="shared" si="3"/>
        <v>1204.5</v>
      </c>
      <c r="G28" s="159">
        <f>F28*$C28</f>
        <v>62.152200000000001</v>
      </c>
      <c r="H28" s="168">
        <f t="shared" si="4"/>
        <v>1643.1818181818182</v>
      </c>
      <c r="I28" s="159">
        <f>H28*$C28</f>
        <v>84.788181818181826</v>
      </c>
      <c r="J28" s="171">
        <f t="shared" si="5"/>
        <v>7921.6666666666661</v>
      </c>
      <c r="K28" s="163">
        <f>J28*$C28</f>
        <v>408.75799999999998</v>
      </c>
    </row>
    <row r="29" spans="2:23" x14ac:dyDescent="0.25">
      <c r="B29" s="162" t="s">
        <v>162</v>
      </c>
      <c r="C29" s="115">
        <v>8.3900000000000002E-2</v>
      </c>
      <c r="D29" s="168">
        <f t="shared" si="2"/>
        <v>256</v>
      </c>
      <c r="E29" s="159">
        <f>D29*$C29</f>
        <v>21.478400000000001</v>
      </c>
      <c r="F29" s="168">
        <f t="shared" si="3"/>
        <v>704</v>
      </c>
      <c r="G29" s="159">
        <f>F29*$C29</f>
        <v>59.065600000000003</v>
      </c>
      <c r="H29" s="168">
        <f t="shared" si="4"/>
        <v>959.65909090909088</v>
      </c>
      <c r="I29" s="159">
        <f>H29*$C29</f>
        <v>80.515397727272727</v>
      </c>
      <c r="J29" s="171">
        <f t="shared" si="5"/>
        <v>4629.333333333333</v>
      </c>
      <c r="K29" s="163">
        <f>J29*$C29</f>
        <v>388.40106666666668</v>
      </c>
    </row>
    <row r="30" spans="2:23" x14ac:dyDescent="0.25">
      <c r="B30" s="162" t="s">
        <v>163</v>
      </c>
      <c r="C30" s="115">
        <v>0.158</v>
      </c>
      <c r="D30" s="168">
        <f t="shared" si="2"/>
        <v>152</v>
      </c>
      <c r="E30" s="159">
        <f>D30*$C30</f>
        <v>24.016000000000002</v>
      </c>
      <c r="F30" s="168">
        <f t="shared" si="3"/>
        <v>418</v>
      </c>
      <c r="G30" s="159">
        <f>F30*$C$30</f>
        <v>66.043999999999997</v>
      </c>
      <c r="H30" s="168">
        <f t="shared" si="4"/>
        <v>569.31818181818176</v>
      </c>
      <c r="I30" s="159">
        <f>H30*$C$30</f>
        <v>89.952272727272714</v>
      </c>
      <c r="J30" s="171">
        <f t="shared" si="5"/>
        <v>2748.666666666667</v>
      </c>
      <c r="K30" s="163">
        <f>C30*J30</f>
        <v>434.28933333333339</v>
      </c>
    </row>
    <row r="31" spans="2:23" x14ac:dyDescent="0.25">
      <c r="B31" s="162" t="s">
        <v>164</v>
      </c>
      <c r="C31" s="115">
        <v>0.32</v>
      </c>
      <c r="D31" s="168" t="s">
        <v>157</v>
      </c>
      <c r="E31" s="159"/>
      <c r="F31" s="168">
        <f t="shared" si="3"/>
        <v>242</v>
      </c>
      <c r="G31" s="159">
        <f>F31*$C$31</f>
        <v>77.44</v>
      </c>
      <c r="H31" s="168">
        <f t="shared" si="4"/>
        <v>330.68181818181819</v>
      </c>
      <c r="I31" s="159">
        <f>H31*$C$31</f>
        <v>105.81818181818183</v>
      </c>
      <c r="J31" s="171">
        <f t="shared" si="5"/>
        <v>1591.3333333333333</v>
      </c>
      <c r="K31" s="163">
        <f>J31*$C$31</f>
        <v>509.22666666666663</v>
      </c>
    </row>
    <row r="32" spans="2:23" x14ac:dyDescent="0.25">
      <c r="B32" s="162" t="s">
        <v>165</v>
      </c>
      <c r="C32" s="115"/>
      <c r="D32" s="168" t="s">
        <v>157</v>
      </c>
      <c r="E32" s="159"/>
      <c r="F32" s="168">
        <f t="shared" si="3"/>
        <v>335.5</v>
      </c>
      <c r="G32" s="159"/>
      <c r="H32" s="168">
        <f t="shared" si="4"/>
        <v>456.81818181818187</v>
      </c>
      <c r="I32" s="159"/>
      <c r="J32" s="171">
        <f t="shared" si="5"/>
        <v>2207.3333333333335</v>
      </c>
      <c r="K32" s="163"/>
    </row>
    <row r="33" spans="2:11" x14ac:dyDescent="0.25">
      <c r="B33" s="162" t="s">
        <v>166</v>
      </c>
      <c r="C33" s="115"/>
      <c r="D33" s="168" t="s">
        <v>157</v>
      </c>
      <c r="E33" s="159"/>
      <c r="F33" s="168">
        <f t="shared" si="3"/>
        <v>275</v>
      </c>
      <c r="G33" s="159"/>
      <c r="H33" s="168">
        <f t="shared" si="4"/>
        <v>375</v>
      </c>
      <c r="I33" s="159"/>
      <c r="J33" s="171">
        <f t="shared" si="5"/>
        <v>1808.3333333333335</v>
      </c>
      <c r="K33" s="163"/>
    </row>
    <row r="34" spans="2:11" x14ac:dyDescent="0.25">
      <c r="B34" s="162" t="s">
        <v>167</v>
      </c>
      <c r="C34" s="115"/>
      <c r="D34" s="168" t="s">
        <v>157</v>
      </c>
      <c r="E34" s="159"/>
      <c r="F34" s="168">
        <f t="shared" si="3"/>
        <v>209</v>
      </c>
      <c r="G34" s="159"/>
      <c r="H34" s="168">
        <f t="shared" si="4"/>
        <v>284.65909090909088</v>
      </c>
      <c r="I34" s="159"/>
      <c r="J34" s="171">
        <f t="shared" si="5"/>
        <v>1374.3333333333335</v>
      </c>
      <c r="K34" s="163"/>
    </row>
    <row r="35" spans="2:11" x14ac:dyDescent="0.25">
      <c r="B35" s="162" t="s">
        <v>168</v>
      </c>
      <c r="C35" s="115"/>
      <c r="D35" s="168" t="s">
        <v>157</v>
      </c>
      <c r="E35" s="159"/>
      <c r="F35" s="168">
        <f t="shared" si="3"/>
        <v>198</v>
      </c>
      <c r="G35" s="159"/>
      <c r="H35" s="168">
        <f t="shared" si="4"/>
        <v>269.31818181818181</v>
      </c>
      <c r="I35" s="159"/>
      <c r="J35" s="171">
        <f t="shared" si="5"/>
        <v>1302</v>
      </c>
      <c r="K35" s="163"/>
    </row>
    <row r="36" spans="2:11" ht="15.75" thickBot="1" x14ac:dyDescent="0.3">
      <c r="B36" s="164" t="s">
        <v>169</v>
      </c>
      <c r="C36" s="182"/>
      <c r="D36" s="169" t="s">
        <v>157</v>
      </c>
      <c r="E36" s="165"/>
      <c r="F36" s="169" t="s">
        <v>157</v>
      </c>
      <c r="G36" s="165"/>
      <c r="H36" s="169" t="s">
        <v>157</v>
      </c>
      <c r="I36" s="165"/>
      <c r="J36" s="172" t="s">
        <v>157</v>
      </c>
      <c r="K36" s="166"/>
    </row>
    <row r="37" spans="2:11" x14ac:dyDescent="0.25">
      <c r="B37" t="s">
        <v>176</v>
      </c>
      <c r="C37" t="s">
        <v>87</v>
      </c>
      <c r="D37" s="170">
        <v>200</v>
      </c>
      <c r="E37" s="167"/>
      <c r="F37" s="170">
        <v>550</v>
      </c>
      <c r="H37" s="170">
        <v>1500</v>
      </c>
      <c r="I37" s="167"/>
      <c r="J37" s="170">
        <v>4200</v>
      </c>
    </row>
    <row r="38" spans="2:11" x14ac:dyDescent="0.25">
      <c r="B38" t="s">
        <v>185</v>
      </c>
      <c r="E38">
        <f>AVERAGE(E24:E36)</f>
        <v>26.554413087708333</v>
      </c>
      <c r="G38">
        <f>AVERAGE(G24:G36)</f>
        <v>73.760529992664928</v>
      </c>
      <c r="I38">
        <f>AVERAGE(I24:I36)</f>
        <v>100.6041545354522</v>
      </c>
      <c r="K38">
        <f>AVERAGE(K24:K36)</f>
        <v>485.05160639823879</v>
      </c>
    </row>
    <row r="39" spans="2:11" x14ac:dyDescent="0.25">
      <c r="C39" t="s">
        <v>86</v>
      </c>
      <c r="D39">
        <f>D37/1440</f>
        <v>0.1388888888888889</v>
      </c>
      <c r="F39">
        <f>F37/1440</f>
        <v>0.38194444444444442</v>
      </c>
      <c r="H39">
        <f>H37/1440</f>
        <v>1.0416666666666667</v>
      </c>
      <c r="J39">
        <f>J37/1440</f>
        <v>2.9166666666666665</v>
      </c>
    </row>
    <row r="40" spans="2:11" x14ac:dyDescent="0.25">
      <c r="C40" t="s">
        <v>183</v>
      </c>
      <c r="D40">
        <f>D39*60</f>
        <v>8.3333333333333339</v>
      </c>
      <c r="F40">
        <f>F39*60</f>
        <v>22.916666666666664</v>
      </c>
      <c r="H40">
        <f>H39*60</f>
        <v>62.500000000000007</v>
      </c>
      <c r="J40">
        <f>J39*60</f>
        <v>175</v>
      </c>
    </row>
    <row r="41" spans="2:11" x14ac:dyDescent="0.25">
      <c r="B41" s="156" t="s">
        <v>177</v>
      </c>
      <c r="C41" t="s">
        <v>184</v>
      </c>
      <c r="E41">
        <f>E38/D40</f>
        <v>3.1865295705249999</v>
      </c>
      <c r="G41">
        <f>G38/F40</f>
        <v>3.2186413087708337</v>
      </c>
      <c r="I41">
        <f>I38/H40</f>
        <v>1.6096664725672349</v>
      </c>
      <c r="K41">
        <f>K38/J40</f>
        <v>2.7717234651327929</v>
      </c>
    </row>
    <row r="42" spans="2:11" x14ac:dyDescent="0.25">
      <c r="B42" t="s">
        <v>178</v>
      </c>
    </row>
    <row r="43" spans="2:11" x14ac:dyDescent="0.25">
      <c r="B43" t="s">
        <v>179</v>
      </c>
    </row>
  </sheetData>
  <mergeCells count="3">
    <mergeCell ref="B2:K2"/>
    <mergeCell ref="B21:J21"/>
    <mergeCell ref="B22:J22"/>
  </mergeCells>
  <printOptions horizontalCentered="1"/>
  <pageMargins left="0.7" right="0.7" top="0.75" bottom="0.75" header="0.3" footer="0.3"/>
  <pageSetup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3DDD9098E4764EA058DB41BEC0F8D2" ma:contentTypeVersion="11" ma:contentTypeDescription="Create a new document." ma:contentTypeScope="" ma:versionID="520564af073d56fa3fecfcb55be0ce65">
  <xsd:schema xmlns:xsd="http://www.w3.org/2001/XMLSchema" xmlns:xs="http://www.w3.org/2001/XMLSchema" xmlns:p="http://schemas.microsoft.com/office/2006/metadata/properties" xmlns:ns2="8392c73e-88f8-43ac-aa9b-4b5bd13b121a" xmlns:ns3="3f1d1e60-b2da-4c02-a102-694c12c2845b" targetNamespace="http://schemas.microsoft.com/office/2006/metadata/properties" ma:root="true" ma:fieldsID="3aed7f49a50102cb93253e461f07589e" ns2:_="" ns3:_="">
    <xsd:import namespace="8392c73e-88f8-43ac-aa9b-4b5bd13b121a"/>
    <xsd:import namespace="3f1d1e60-b2da-4c02-a102-694c12c284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2c73e-88f8-43ac-aa9b-4b5bd13b12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d1e60-b2da-4c02-a102-694c12c2845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0B2D5F-782E-4B66-932F-2A93D9AC4F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D33F8B-6AC6-4D56-8ECB-35D8E6993E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322680-E37C-46AB-A903-9A84B60B9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92c73e-88f8-43ac-aa9b-4b5bd13b121a"/>
    <ds:schemaRef ds:uri="3f1d1e60-b2da-4c02-a102-694c12c284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BD Dehydrator Sizing-Imperial</vt:lpstr>
      <vt:lpstr>BD Dehydrator Sizing-Metric </vt:lpstr>
      <vt:lpstr>RFS Sizing- Imp_3.24.22</vt:lpstr>
      <vt:lpstr>RFS Sizing-Metric_3.24.22</vt:lpstr>
      <vt:lpstr>Dehydrator Cross Reference</vt:lpstr>
      <vt:lpstr>Reference_Todd</vt:lpstr>
      <vt:lpstr>Revision Log</vt:lpstr>
      <vt:lpstr>Reference2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DiMaiolo</dc:creator>
  <cp:lastModifiedBy>Ken Choong</cp:lastModifiedBy>
  <dcterms:created xsi:type="dcterms:W3CDTF">2022-03-11T14:43:53Z</dcterms:created>
  <dcterms:modified xsi:type="dcterms:W3CDTF">2022-04-19T06:20:31Z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0x010100C53DDD9098E4764EA058DB41BEC0F8D2</vt:lpwstr>
  </property>
</Properties>
</file>